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30" windowWidth="24915" windowHeight="11895"/>
  </bookViews>
  <sheets>
    <sheet name="ACA SGR Impact" sheetId="1" r:id="rId1"/>
    <sheet name="Sheet1" sheetId="2" r:id="rId2"/>
  </sheets>
  <definedNames>
    <definedName name="_xlnm.Print_Area" localSheetId="0">'ACA SGR Impact'!$A$1:$S$60</definedName>
  </definedNames>
  <calcPr calcId="125725" calcMode="autoNoTable" iterate="1" iterateCount="1" iterateDelta="0"/>
</workbook>
</file>

<file path=xl/calcChain.xml><?xml version="1.0" encoding="utf-8"?>
<calcChain xmlns="http://schemas.openxmlformats.org/spreadsheetml/2006/main">
  <c r="I44" i="1"/>
  <c r="G44"/>
  <c r="F40" l="1"/>
  <c r="D40"/>
  <c r="D15"/>
  <c r="D39"/>
  <c r="K44" l="1"/>
  <c r="Z36" l="1"/>
  <c r="Z35"/>
  <c r="X36"/>
  <c r="X35"/>
  <c r="V36"/>
  <c r="V35"/>
  <c r="T36"/>
  <c r="T35"/>
  <c r="R36"/>
  <c r="R35"/>
  <c r="P36"/>
  <c r="P35"/>
  <c r="N36"/>
  <c r="N35"/>
  <c r="L36"/>
  <c r="L35"/>
  <c r="J36"/>
  <c r="J35"/>
  <c r="H36"/>
  <c r="H35"/>
  <c r="F36"/>
  <c r="F35"/>
  <c r="D35"/>
  <c r="D36"/>
  <c r="L11"/>
  <c r="N11" s="1"/>
  <c r="P11" s="1"/>
  <c r="R11" s="1"/>
  <c r="T11" s="1"/>
  <c r="V11" s="1"/>
  <c r="X11" s="1"/>
  <c r="Z11" s="1"/>
  <c r="E40" l="1"/>
  <c r="E9" l="1"/>
  <c r="Q45"/>
  <c r="Q78" s="1"/>
  <c r="O45"/>
  <c r="O78" s="1"/>
  <c r="M45"/>
  <c r="M78" s="1"/>
  <c r="K45"/>
  <c r="K78" s="1"/>
  <c r="I45"/>
  <c r="I78" s="1"/>
  <c r="G45"/>
  <c r="G78" s="1"/>
  <c r="G76"/>
  <c r="E45"/>
  <c r="E78" s="1"/>
  <c r="E76"/>
  <c r="I76" l="1"/>
  <c r="V4"/>
  <c r="G40"/>
  <c r="M44" l="1"/>
  <c r="K76"/>
  <c r="D32"/>
  <c r="F32" s="1"/>
  <c r="H32" s="1"/>
  <c r="J32" s="1"/>
  <c r="L32" s="1"/>
  <c r="N32" s="1"/>
  <c r="P32" s="1"/>
  <c r="R32" s="1"/>
  <c r="T32" s="1"/>
  <c r="V32" s="1"/>
  <c r="X32" s="1"/>
  <c r="Z32" s="1"/>
  <c r="F5"/>
  <c r="G8"/>
  <c r="G7"/>
  <c r="G35" s="1"/>
  <c r="F39" l="1"/>
  <c r="G39" s="1"/>
  <c r="E39"/>
  <c r="O44"/>
  <c r="M76"/>
  <c r="G36"/>
  <c r="G4"/>
  <c r="H39"/>
  <c r="I39" s="1"/>
  <c r="E32"/>
  <c r="H40"/>
  <c r="I40" s="1"/>
  <c r="E35"/>
  <c r="G5"/>
  <c r="Z30" l="1"/>
  <c r="X30"/>
  <c r="V30"/>
  <c r="T30"/>
  <c r="R30"/>
  <c r="P30"/>
  <c r="N30"/>
  <c r="L30"/>
  <c r="J30"/>
  <c r="H30"/>
  <c r="F30"/>
  <c r="D30"/>
  <c r="E30" s="1"/>
  <c r="F31"/>
  <c r="Z31"/>
  <c r="X31"/>
  <c r="V31"/>
  <c r="T31"/>
  <c r="R31"/>
  <c r="P31"/>
  <c r="N31"/>
  <c r="L31"/>
  <c r="J31"/>
  <c r="H31"/>
  <c r="D31"/>
  <c r="Q44"/>
  <c r="O76"/>
  <c r="E36"/>
  <c r="R20"/>
  <c r="S45" s="1"/>
  <c r="S78" s="1"/>
  <c r="J39"/>
  <c r="K39" s="1"/>
  <c r="G32"/>
  <c r="J40"/>
  <c r="K40" s="1"/>
  <c r="E31" l="1"/>
  <c r="E71" s="1"/>
  <c r="K30"/>
  <c r="F71"/>
  <c r="G30"/>
  <c r="E75"/>
  <c r="AC78"/>
  <c r="D71"/>
  <c r="S44"/>
  <c r="Q76"/>
  <c r="D48"/>
  <c r="T20"/>
  <c r="U45" s="1"/>
  <c r="U78" s="1"/>
  <c r="L39"/>
  <c r="M39" s="1"/>
  <c r="K32"/>
  <c r="I32"/>
  <c r="L40"/>
  <c r="M40" s="1"/>
  <c r="I36"/>
  <c r="I35"/>
  <c r="I30"/>
  <c r="H48"/>
  <c r="G31"/>
  <c r="F48"/>
  <c r="U44" l="1"/>
  <c r="S76"/>
  <c r="AC76" s="1"/>
  <c r="G75"/>
  <c r="G71"/>
  <c r="G43" s="1"/>
  <c r="H71"/>
  <c r="V20"/>
  <c r="W45" s="1"/>
  <c r="W78" s="1"/>
  <c r="E43"/>
  <c r="N39"/>
  <c r="O39" s="1"/>
  <c r="M32"/>
  <c r="K36"/>
  <c r="N40"/>
  <c r="O40" s="1"/>
  <c r="K35"/>
  <c r="M30"/>
  <c r="I31"/>
  <c r="I75" s="1"/>
  <c r="J71" l="1"/>
  <c r="K31"/>
  <c r="E48"/>
  <c r="E77"/>
  <c r="W44"/>
  <c r="U76"/>
  <c r="I71"/>
  <c r="I43" s="1"/>
  <c r="I77" s="1"/>
  <c r="I80" s="1"/>
  <c r="G48"/>
  <c r="G77"/>
  <c r="G80" s="1"/>
  <c r="P39"/>
  <c r="Q39" s="1"/>
  <c r="X20"/>
  <c r="Y45" s="1"/>
  <c r="Y78" s="1"/>
  <c r="R39"/>
  <c r="S39" s="1"/>
  <c r="O32"/>
  <c r="P40"/>
  <c r="Q40" s="1"/>
  <c r="M36"/>
  <c r="M35"/>
  <c r="K71"/>
  <c r="J48"/>
  <c r="O30"/>
  <c r="L71" l="1"/>
  <c r="M31"/>
  <c r="D56"/>
  <c r="I48"/>
  <c r="E80"/>
  <c r="K75"/>
  <c r="Y44"/>
  <c r="W76"/>
  <c r="Z20"/>
  <c r="AA45" s="1"/>
  <c r="AA78" s="1"/>
  <c r="K43"/>
  <c r="R40"/>
  <c r="S40" s="1"/>
  <c r="T39"/>
  <c r="U39" s="1"/>
  <c r="Q32"/>
  <c r="O36"/>
  <c r="O35"/>
  <c r="M71"/>
  <c r="L48"/>
  <c r="Q30"/>
  <c r="N71" l="1"/>
  <c r="O31"/>
  <c r="O75" s="1"/>
  <c r="AA44"/>
  <c r="AA76" s="1"/>
  <c r="Y76"/>
  <c r="M75"/>
  <c r="K48"/>
  <c r="K77"/>
  <c r="M43"/>
  <c r="Q35"/>
  <c r="Q36"/>
  <c r="T40"/>
  <c r="U40" s="1"/>
  <c r="S32"/>
  <c r="S30"/>
  <c r="V39"/>
  <c r="W39" s="1"/>
  <c r="N48"/>
  <c r="S31" l="1"/>
  <c r="Q31"/>
  <c r="R71"/>
  <c r="M48"/>
  <c r="M77"/>
  <c r="M80" s="1"/>
  <c r="K80"/>
  <c r="O71"/>
  <c r="P71"/>
  <c r="O43"/>
  <c r="V40"/>
  <c r="W40" s="1"/>
  <c r="S36"/>
  <c r="S35"/>
  <c r="U32"/>
  <c r="U31"/>
  <c r="R48"/>
  <c r="X39"/>
  <c r="Y39" s="1"/>
  <c r="Q71"/>
  <c r="P48"/>
  <c r="T71" l="1"/>
  <c r="U30"/>
  <c r="AC38"/>
  <c r="S75"/>
  <c r="S71"/>
  <c r="S43" s="1"/>
  <c r="O48"/>
  <c r="O77"/>
  <c r="Q75"/>
  <c r="Q43"/>
  <c r="U35"/>
  <c r="U36"/>
  <c r="X40"/>
  <c r="Y40" s="1"/>
  <c r="W32"/>
  <c r="W31"/>
  <c r="T48"/>
  <c r="Z39"/>
  <c r="AA39" s="1"/>
  <c r="V71" l="1"/>
  <c r="W30"/>
  <c r="U75"/>
  <c r="U71"/>
  <c r="U43" s="1"/>
  <c r="S48"/>
  <c r="S77"/>
  <c r="S80" s="1"/>
  <c r="AC75"/>
  <c r="Q48"/>
  <c r="Q77"/>
  <c r="Q80" s="1"/>
  <c r="O80"/>
  <c r="Z40"/>
  <c r="AA40" s="1"/>
  <c r="W36"/>
  <c r="W35"/>
  <c r="Y32"/>
  <c r="Y31"/>
  <c r="V48"/>
  <c r="D57" l="1"/>
  <c r="AC77"/>
  <c r="X71"/>
  <c r="Y30"/>
  <c r="AC80"/>
  <c r="U77"/>
  <c r="U80" s="1"/>
  <c r="U48"/>
  <c r="W75"/>
  <c r="W71"/>
  <c r="W43" s="1"/>
  <c r="Y35"/>
  <c r="AA35"/>
  <c r="Y36"/>
  <c r="AA36"/>
  <c r="AA32"/>
  <c r="AA31"/>
  <c r="X48"/>
  <c r="Z71" l="1"/>
  <c r="AA30"/>
  <c r="W77"/>
  <c r="W80" s="1"/>
  <c r="W48"/>
  <c r="Y75"/>
  <c r="Y71"/>
  <c r="Y43" s="1"/>
  <c r="Z48"/>
  <c r="Y48" l="1"/>
  <c r="Y77"/>
  <c r="Y80" s="1"/>
  <c r="AA75"/>
  <c r="AA71"/>
  <c r="AA43" s="1"/>
  <c r="D58" l="1"/>
  <c r="AA48"/>
  <c r="AA77"/>
  <c r="AA80" s="1"/>
</calcChain>
</file>

<file path=xl/sharedStrings.xml><?xml version="1.0" encoding="utf-8"?>
<sst xmlns="http://schemas.openxmlformats.org/spreadsheetml/2006/main" count="83" uniqueCount="56">
  <si>
    <t>Adults</t>
  </si>
  <si>
    <t>Children</t>
  </si>
  <si>
    <t>No. of persons</t>
  </si>
  <si>
    <t>Cost PMPM</t>
  </si>
  <si>
    <t>Assumptions</t>
  </si>
  <si>
    <t>Federal Reforms</t>
  </si>
  <si>
    <t>AF</t>
  </si>
  <si>
    <t>SF</t>
  </si>
  <si>
    <t>Medicaid Expansion</t>
  </si>
  <si>
    <t>Additional Medicaid operational costs</t>
  </si>
  <si>
    <t>Woodwork -- existing eligibles</t>
  </si>
  <si>
    <t>New eligibles</t>
  </si>
  <si>
    <t>Standard admin cost per claim</t>
  </si>
  <si>
    <t>Standard admin match rate</t>
  </si>
  <si>
    <t>Standard state share (1-FMAP)</t>
  </si>
  <si>
    <t>Standard claims processing</t>
  </si>
  <si>
    <t>Transitioned eligibles (current Medicaid)</t>
  </si>
  <si>
    <t>Woodwork increase in participation</t>
  </si>
  <si>
    <t>Multi-year totals</t>
  </si>
  <si>
    <t>FY 2014-2015</t>
  </si>
  <si>
    <t>FY 2014-2025</t>
  </si>
  <si>
    <t>Additional state tax revenue</t>
  </si>
  <si>
    <t>Economic multiplier on new federal spending</t>
  </si>
  <si>
    <t>State tax rate applied to all new federal spending</t>
  </si>
  <si>
    <t>Total, newly covered lives in Medicaid</t>
  </si>
  <si>
    <t>SUMMARY OF COSTS (SAVINGS) TO STATE GENERAL REVENUE</t>
  </si>
  <si>
    <t>Percentage of state spending on uninsured claimed as offset</t>
  </si>
  <si>
    <t>2014*</t>
  </si>
  <si>
    <t>*All spending and savings totals in FY 2014 have been adjusted to reflect mid-year (January) implementation of the expansion</t>
  </si>
  <si>
    <t>Sources for per-person costs: Urban Institute 2011 estimates, ARHealthNetworks 2011 experience</t>
  </si>
  <si>
    <t>Includes state payments to hospitals, clinics, and others currently used to provide services to the uninsured</t>
  </si>
  <si>
    <t>Projected new spending (annual; AF)</t>
  </si>
  <si>
    <t>Assumes current enrollees are in greater need of services and are more costly</t>
  </si>
  <si>
    <t>Comparable to Urban Institute's estimate of woodwork costs</t>
  </si>
  <si>
    <t>Approximately 3% of new eligibles are assumed to be bought-in to their employer plan</t>
  </si>
  <si>
    <t>FY 2014-2021</t>
  </si>
  <si>
    <t>New eligibles (Medicaid-only: no job-based coverage)</t>
  </si>
  <si>
    <t>New eligibles (Medicaid and job-based coverage)</t>
  </si>
  <si>
    <t>Notes and sources</t>
  </si>
  <si>
    <t>New Medicaid Expansion</t>
  </si>
  <si>
    <t>New Medicaid Savings</t>
  </si>
  <si>
    <t>Additional state revenue</t>
  </si>
  <si>
    <t>Spending on uncompensated care</t>
  </si>
  <si>
    <t>2014-2021</t>
  </si>
  <si>
    <t xml:space="preserve">Compares to Urban Institute March 2011 est. of increase of 219,000 </t>
  </si>
  <si>
    <t>Current State spending on Medicaid transition populations</t>
  </si>
  <si>
    <t>Current State spending on the uninsured</t>
  </si>
  <si>
    <t>Offset savings for Medicaid transition populations</t>
  </si>
  <si>
    <t>Offset savings for state spending on uninsured</t>
  </si>
  <si>
    <t>Total net cost (savings)</t>
  </si>
  <si>
    <t>Enhanced FMAP for expansion (applies on calendar year basis)</t>
  </si>
  <si>
    <r>
      <t xml:space="preserve">Costs (savings) in Each Year With Reform </t>
    </r>
    <r>
      <rPr>
        <sz val="14"/>
        <color theme="1"/>
        <rFont val="Calibri"/>
        <family val="2"/>
        <scheme val="minor"/>
      </rPr>
      <t>(by state fiscal year; expressed in constant 2012 $)</t>
    </r>
  </si>
  <si>
    <t>Includes transitioning Medicaid populations such as ARHealthNetworks, pregnant women and the Medically Needy (spenddown) population as well as the enhanced ARKids B match rate increase to 100% in FFY 2015. First number reflects current state share of spending that is saved; second number reflects total costs of these individuals under the expansion (state share varies by year).</t>
  </si>
  <si>
    <t>Ramp-up (percentage new enrollees that enroll each year)</t>
  </si>
  <si>
    <t>Additional provider and customer support, oversight and engagement</t>
  </si>
  <si>
    <t>File: Updated cost estimates for Medicaid expansion Nov 2012 (2).xlsx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</si>
</sst>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9" fontId="0" fillId="0" borderId="0" xfId="3" applyFont="1"/>
    <xf numFmtId="43" fontId="0" fillId="0" borderId="0" xfId="1" applyFont="1"/>
    <xf numFmtId="9" fontId="0" fillId="0" borderId="0" xfId="3" applyFont="1" applyAlignment="1">
      <alignment horizontal="right"/>
    </xf>
    <xf numFmtId="9" fontId="1" fillId="0" borderId="0" xfId="3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3" fillId="0" borderId="0" xfId="0" applyFont="1"/>
    <xf numFmtId="0" fontId="0" fillId="0" borderId="4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NumberFormat="1"/>
    <xf numFmtId="0" fontId="0" fillId="0" borderId="0" xfId="1" applyNumberFormat="1" applyFont="1"/>
    <xf numFmtId="1" fontId="0" fillId="0" borderId="7" xfId="1" applyNumberFormat="1" applyFont="1" applyBorder="1"/>
    <xf numFmtId="1" fontId="0" fillId="0" borderId="8" xfId="1" applyNumberFormat="1" applyFont="1" applyBorder="1"/>
    <xf numFmtId="1" fontId="0" fillId="0" borderId="0" xfId="1" applyNumberFormat="1" applyFont="1" applyBorder="1"/>
    <xf numFmtId="1" fontId="0" fillId="0" borderId="0" xfId="1" applyNumberFormat="1" applyFont="1"/>
    <xf numFmtId="0" fontId="0" fillId="0" borderId="0" xfId="0" applyBorder="1"/>
    <xf numFmtId="9" fontId="0" fillId="0" borderId="0" xfId="0" applyNumberFormat="1" applyBorder="1"/>
    <xf numFmtId="164" fontId="0" fillId="0" borderId="7" xfId="1" applyNumberFormat="1" applyFont="1" applyBorder="1"/>
    <xf numFmtId="164" fontId="0" fillId="0" borderId="0" xfId="1" applyNumberFormat="1" applyFont="1" applyBorder="1"/>
    <xf numFmtId="44" fontId="0" fillId="0" borderId="0" xfId="2" applyFont="1"/>
    <xf numFmtId="165" fontId="0" fillId="0" borderId="0" xfId="0" applyNumberFormat="1"/>
    <xf numFmtId="0" fontId="0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right"/>
    </xf>
    <xf numFmtId="164" fontId="0" fillId="0" borderId="8" xfId="1" applyNumberFormat="1" applyFont="1" applyBorder="1"/>
    <xf numFmtId="0" fontId="0" fillId="0" borderId="0" xfId="0" applyAlignment="1">
      <alignment horizontal="left" wrapText="1"/>
    </xf>
    <xf numFmtId="166" fontId="0" fillId="0" borderId="0" xfId="2" applyNumberFormat="1" applyFont="1"/>
    <xf numFmtId="0" fontId="0" fillId="0" borderId="7" xfId="0" applyBorder="1"/>
    <xf numFmtId="167" fontId="0" fillId="0" borderId="0" xfId="3" applyNumberFormat="1" applyFont="1"/>
    <xf numFmtId="166" fontId="2" fillId="0" borderId="0" xfId="2" applyNumberFormat="1" applyFont="1"/>
    <xf numFmtId="9" fontId="2" fillId="0" borderId="0" xfId="3" applyFont="1"/>
    <xf numFmtId="43" fontId="2" fillId="0" borderId="0" xfId="1" applyFont="1"/>
    <xf numFmtId="166" fontId="0" fillId="0" borderId="0" xfId="2" quotePrefix="1" applyNumberFormat="1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/>
    <xf numFmtId="9" fontId="2" fillId="0" borderId="0" xfId="3" applyFont="1" applyAlignment="1">
      <alignment horizontal="right"/>
    </xf>
    <xf numFmtId="164" fontId="2" fillId="0" borderId="0" xfId="1" applyNumberFormat="1" applyFont="1"/>
    <xf numFmtId="164" fontId="1" fillId="0" borderId="0" xfId="1" applyNumberFormat="1" applyFont="1"/>
    <xf numFmtId="0" fontId="0" fillId="0" borderId="3" xfId="0" applyBorder="1"/>
    <xf numFmtId="0" fontId="0" fillId="0" borderId="2" xfId="0" applyBorder="1"/>
    <xf numFmtId="164" fontId="0" fillId="0" borderId="8" xfId="0" applyNumberFormat="1" applyBorder="1"/>
    <xf numFmtId="0" fontId="4" fillId="0" borderId="7" xfId="0" applyFont="1" applyBorder="1" applyAlignment="1">
      <alignment horizontal="left" readingOrder="1"/>
    </xf>
    <xf numFmtId="0" fontId="0" fillId="0" borderId="4" xfId="0" applyBorder="1"/>
    <xf numFmtId="0" fontId="0" fillId="0" borderId="6" xfId="0" applyBorder="1"/>
    <xf numFmtId="164" fontId="0" fillId="0" borderId="5" xfId="0" applyNumberFormat="1" applyBorder="1"/>
    <xf numFmtId="0" fontId="5" fillId="0" borderId="0" xfId="0" applyFont="1"/>
    <xf numFmtId="0" fontId="2" fillId="0" borderId="1" xfId="0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9" fontId="6" fillId="0" borderId="0" xfId="3" applyFont="1" applyAlignment="1">
      <alignment horizontal="right"/>
    </xf>
    <xf numFmtId="9" fontId="6" fillId="0" borderId="0" xfId="3" applyFont="1"/>
    <xf numFmtId="0" fontId="0" fillId="0" borderId="0" xfId="0" applyFont="1" applyAlignment="1">
      <alignment wrapText="1"/>
    </xf>
    <xf numFmtId="0" fontId="0" fillId="0" borderId="6" xfId="0" applyBorder="1" applyAlignment="1">
      <alignment horizontal="right" wrapText="1"/>
    </xf>
    <xf numFmtId="164" fontId="1" fillId="0" borderId="0" xfId="1" applyNumberFormat="1" applyFont="1" applyAlignment="1">
      <alignment wrapText="1"/>
    </xf>
    <xf numFmtId="0" fontId="0" fillId="0" borderId="5" xfId="0" applyFont="1" applyBorder="1" applyAlignment="1">
      <alignment horizontal="right"/>
    </xf>
    <xf numFmtId="1" fontId="1" fillId="0" borderId="8" xfId="1" applyNumberFormat="1" applyFont="1" applyBorder="1"/>
    <xf numFmtId="0" fontId="5" fillId="0" borderId="0" xfId="0" applyFont="1" applyAlignment="1">
      <alignment horizontal="left"/>
    </xf>
    <xf numFmtId="0" fontId="0" fillId="0" borderId="0" xfId="0" quotePrefix="1"/>
    <xf numFmtId="9" fontId="0" fillId="0" borderId="0" xfId="3" quotePrefix="1" applyFont="1"/>
    <xf numFmtId="164" fontId="0" fillId="0" borderId="0" xfId="0" applyNumberFormat="1"/>
    <xf numFmtId="9" fontId="6" fillId="0" borderId="0" xfId="3" applyNumberFormat="1" applyFont="1"/>
    <xf numFmtId="0" fontId="0" fillId="0" borderId="0" xfId="0" applyFont="1" applyAlignment="1"/>
    <xf numFmtId="0" fontId="0" fillId="0" borderId="0" xfId="2" applyNumberFormat="1" applyFont="1"/>
    <xf numFmtId="43" fontId="1" fillId="0" borderId="0" xfId="1" applyFont="1"/>
    <xf numFmtId="0" fontId="0" fillId="0" borderId="0" xfId="0" applyFont="1" applyFill="1" applyBorder="1" applyAlignment="1">
      <alignment wrapText="1"/>
    </xf>
    <xf numFmtId="164" fontId="7" fillId="0" borderId="0" xfId="1" applyNumberFormat="1" applyFont="1"/>
    <xf numFmtId="164" fontId="2" fillId="0" borderId="4" xfId="1" applyNumberFormat="1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43" fontId="2" fillId="0" borderId="0" xfId="0" applyNumberFormat="1" applyFont="1"/>
    <xf numFmtId="43" fontId="0" fillId="0" borderId="0" xfId="0" applyNumberFormat="1"/>
    <xf numFmtId="9" fontId="0" fillId="0" borderId="0" xfId="3" applyFont="1" applyAlignment="1"/>
    <xf numFmtId="164" fontId="0" fillId="0" borderId="7" xfId="0" applyNumberFormat="1" applyBorder="1"/>
    <xf numFmtId="43" fontId="2" fillId="0" borderId="0" xfId="0" applyNumberFormat="1" applyFont="1" applyBorder="1"/>
    <xf numFmtId="0" fontId="9" fillId="0" borderId="0" xfId="0" applyFont="1"/>
    <xf numFmtId="0" fontId="2" fillId="0" borderId="6" xfId="0" applyFont="1" applyBorder="1" applyAlignment="1">
      <alignment horizontal="center"/>
    </xf>
    <xf numFmtId="0" fontId="0" fillId="0" borderId="6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80"/>
  <sheetViews>
    <sheetView tabSelected="1" topLeftCell="A22" workbookViewId="0">
      <selection activeCell="F1" sqref="F1"/>
    </sheetView>
  </sheetViews>
  <sheetFormatPr defaultRowHeight="15"/>
  <cols>
    <col min="1" max="1" width="5" customWidth="1"/>
    <col min="2" max="2" width="44.140625" customWidth="1"/>
    <col min="4" max="4" width="15.28515625" customWidth="1"/>
    <col min="5" max="5" width="12.85546875" customWidth="1"/>
    <col min="6" max="6" width="14.42578125" customWidth="1"/>
    <col min="7" max="7" width="14.5703125" customWidth="1"/>
    <col min="8" max="9" width="14" customWidth="1"/>
    <col min="10" max="10" width="14.28515625" customWidth="1"/>
    <col min="11" max="11" width="14.28515625" bestFit="1" customWidth="1"/>
    <col min="12" max="12" width="14" customWidth="1"/>
    <col min="13" max="13" width="14.28515625" bestFit="1" customWidth="1"/>
    <col min="14" max="14" width="16.85546875" customWidth="1"/>
    <col min="15" max="15" width="14.28515625" bestFit="1" customWidth="1"/>
    <col min="16" max="18" width="14.28515625" customWidth="1"/>
    <col min="19" max="19" width="13" customWidth="1"/>
    <col min="20" max="20" width="15.28515625" customWidth="1"/>
    <col min="21" max="21" width="13" customWidth="1"/>
    <col min="22" max="22" width="15" customWidth="1"/>
    <col min="23" max="23" width="13" customWidth="1"/>
    <col min="24" max="27" width="15" customWidth="1"/>
    <col min="28" max="28" width="14.28515625" bestFit="1" customWidth="1"/>
    <col min="29" max="29" width="16" bestFit="1" customWidth="1"/>
  </cols>
  <sheetData>
    <row r="1" spans="1:27" ht="18.75">
      <c r="A1" s="68" t="s">
        <v>4</v>
      </c>
      <c r="S1" s="3"/>
    </row>
    <row r="2" spans="1:27" ht="45">
      <c r="B2" s="1"/>
      <c r="C2" s="1"/>
      <c r="D2" s="1"/>
      <c r="E2" s="64" t="s">
        <v>2</v>
      </c>
      <c r="F2" s="64" t="s">
        <v>3</v>
      </c>
      <c r="G2" s="64" t="s">
        <v>31</v>
      </c>
      <c r="H2" s="88" t="s">
        <v>38</v>
      </c>
      <c r="I2" s="88"/>
      <c r="J2" s="76"/>
      <c r="S2" s="3"/>
    </row>
    <row r="3" spans="1:27" s="2" customFormat="1" ht="18.75" customHeight="1">
      <c r="A3" s="3" t="s">
        <v>11</v>
      </c>
      <c r="B3" s="63"/>
      <c r="C3" s="63"/>
      <c r="D3" s="63"/>
      <c r="E3" s="65"/>
      <c r="F3" s="42"/>
      <c r="G3" s="42"/>
      <c r="H3" s="90"/>
      <c r="I3" s="91"/>
      <c r="J3" s="91"/>
      <c r="K3" s="91"/>
      <c r="L3" s="91"/>
      <c r="M3" s="91"/>
      <c r="N3" s="91"/>
      <c r="O3" s="91"/>
    </row>
    <row r="4" spans="1:27" s="3" customFormat="1" ht="15" customHeight="1">
      <c r="B4" s="3" t="s">
        <v>36</v>
      </c>
      <c r="E4" s="47">
        <v>208000</v>
      </c>
      <c r="F4" s="37">
        <v>325</v>
      </c>
      <c r="G4" s="47">
        <f>F4*12*E4</f>
        <v>811200000</v>
      </c>
      <c r="H4" s="74" t="s">
        <v>29</v>
      </c>
      <c r="L4" s="40"/>
      <c r="M4"/>
      <c r="O4" s="34"/>
      <c r="P4" s="90"/>
      <c r="Q4" s="90"/>
      <c r="R4" s="90"/>
      <c r="S4" s="90"/>
      <c r="T4" s="63"/>
      <c r="U4" s="63"/>
      <c r="V4" s="3">
        <f>4903/12</f>
        <v>408.58333333333331</v>
      </c>
    </row>
    <row r="5" spans="1:27">
      <c r="B5" s="3" t="s">
        <v>37</v>
      </c>
      <c r="C5" s="3"/>
      <c r="D5" s="3"/>
      <c r="E5" s="47">
        <v>7000</v>
      </c>
      <c r="F5" s="34">
        <f>0.6*F4</f>
        <v>195</v>
      </c>
      <c r="G5" s="4">
        <f>F5*12*E5</f>
        <v>16380000</v>
      </c>
      <c r="H5" t="s">
        <v>34</v>
      </c>
      <c r="P5" s="90"/>
      <c r="Q5" s="90"/>
      <c r="R5" s="90"/>
      <c r="S5" s="90"/>
      <c r="T5" s="63"/>
      <c r="U5" s="63"/>
    </row>
    <row r="6" spans="1:27">
      <c r="A6" t="s">
        <v>17</v>
      </c>
      <c r="F6" s="34"/>
      <c r="G6" s="4"/>
      <c r="S6" s="3"/>
    </row>
    <row r="7" spans="1:27">
      <c r="B7" t="s">
        <v>0</v>
      </c>
      <c r="E7" s="4">
        <v>25000</v>
      </c>
      <c r="F7" s="34">
        <v>250</v>
      </c>
      <c r="G7" s="4">
        <f>F7*12*E7</f>
        <v>75000000</v>
      </c>
      <c r="H7" t="s">
        <v>32</v>
      </c>
      <c r="S7" s="3"/>
    </row>
    <row r="8" spans="1:27" ht="15" customHeight="1">
      <c r="B8" t="s">
        <v>1</v>
      </c>
      <c r="E8" s="77">
        <v>10000</v>
      </c>
      <c r="F8" s="34">
        <v>75</v>
      </c>
      <c r="G8" s="4">
        <f>F8*12*E8</f>
        <v>9000000</v>
      </c>
      <c r="H8" s="41" t="s">
        <v>33</v>
      </c>
      <c r="I8" s="41"/>
      <c r="J8" s="41"/>
      <c r="K8" s="41"/>
      <c r="L8" s="41"/>
      <c r="M8" s="41"/>
      <c r="N8" s="41"/>
      <c r="S8" s="3"/>
    </row>
    <row r="9" spans="1:27" s="2" customFormat="1">
      <c r="A9" s="2" t="s">
        <v>24</v>
      </c>
      <c r="E9" s="43">
        <f>SUM(E4:E8)</f>
        <v>250000</v>
      </c>
      <c r="F9" s="39">
        <v>0</v>
      </c>
      <c r="G9" s="39"/>
      <c r="H9" s="73" t="s">
        <v>44</v>
      </c>
      <c r="I9" s="44"/>
      <c r="J9" s="44"/>
      <c r="K9" s="44"/>
      <c r="L9" s="44"/>
      <c r="M9" s="44"/>
      <c r="N9" s="44"/>
    </row>
    <row r="10" spans="1:27" s="2" customFormat="1">
      <c r="E10" s="43"/>
      <c r="F10" s="39"/>
      <c r="G10" s="39"/>
      <c r="H10" s="73"/>
      <c r="I10" s="44"/>
      <c r="J10" s="44"/>
      <c r="K10" s="44"/>
      <c r="L10" s="44"/>
      <c r="M10" s="44"/>
      <c r="N10" s="44"/>
    </row>
    <row r="11" spans="1:27" s="7" customFormat="1">
      <c r="A11" s="7" t="s">
        <v>53</v>
      </c>
      <c r="D11" s="7">
        <v>0.75</v>
      </c>
      <c r="F11" s="10">
        <v>0.85</v>
      </c>
      <c r="G11" s="10"/>
      <c r="H11" s="83">
        <v>0.95</v>
      </c>
      <c r="I11" s="83"/>
      <c r="J11" s="83">
        <v>1</v>
      </c>
      <c r="K11" s="83"/>
      <c r="L11" s="83">
        <f>J11</f>
        <v>1</v>
      </c>
      <c r="M11" s="83"/>
      <c r="N11" s="83">
        <f>L11</f>
        <v>1</v>
      </c>
      <c r="O11" s="83"/>
      <c r="P11" s="83">
        <f>N11</f>
        <v>1</v>
      </c>
      <c r="Q11" s="83"/>
      <c r="R11" s="83">
        <f>P11</f>
        <v>1</v>
      </c>
      <c r="S11" s="83"/>
      <c r="T11" s="83">
        <f>R11</f>
        <v>1</v>
      </c>
      <c r="U11" s="83"/>
      <c r="V11" s="83">
        <f>T11</f>
        <v>1</v>
      </c>
      <c r="W11" s="83"/>
      <c r="X11" s="83">
        <f>V11</f>
        <v>1</v>
      </c>
      <c r="Y11" s="83"/>
      <c r="Z11" s="83">
        <f>X11</f>
        <v>1</v>
      </c>
    </row>
    <row r="12" spans="1:27">
      <c r="A12" t="s">
        <v>14</v>
      </c>
      <c r="D12" s="7">
        <v>0.3</v>
      </c>
      <c r="E12" s="71"/>
      <c r="F12" s="8"/>
      <c r="G12" s="8"/>
      <c r="H12" s="33"/>
      <c r="I12" s="33"/>
      <c r="J12" s="33"/>
      <c r="K12" s="33"/>
      <c r="L12" s="33"/>
      <c r="M12" s="33"/>
      <c r="N12" s="33"/>
      <c r="S12" s="3"/>
    </row>
    <row r="13" spans="1:27">
      <c r="A13" s="7" t="s">
        <v>50</v>
      </c>
      <c r="B13" s="7"/>
      <c r="C13" s="7"/>
      <c r="D13" s="7">
        <v>1</v>
      </c>
      <c r="E13" s="9"/>
      <c r="F13" s="7">
        <v>1</v>
      </c>
      <c r="G13" s="7"/>
      <c r="H13" s="7">
        <v>1</v>
      </c>
      <c r="I13" s="7"/>
      <c r="J13" s="7">
        <v>0.95</v>
      </c>
      <c r="K13" s="7"/>
      <c r="L13" s="7">
        <v>0.94</v>
      </c>
      <c r="M13" s="7"/>
      <c r="N13" s="7">
        <v>0.93</v>
      </c>
      <c r="O13" s="7"/>
      <c r="P13" s="7">
        <v>0.9</v>
      </c>
      <c r="Q13" s="7"/>
      <c r="R13" s="7">
        <v>0.9</v>
      </c>
      <c r="S13" s="10"/>
      <c r="T13" s="7">
        <v>0.9</v>
      </c>
      <c r="U13" s="7"/>
      <c r="V13" s="7">
        <v>0.9</v>
      </c>
      <c r="W13" s="7"/>
      <c r="X13" s="7">
        <v>0.9</v>
      </c>
      <c r="Y13" s="7"/>
      <c r="Z13" s="7">
        <v>0.9</v>
      </c>
      <c r="AA13" s="7"/>
    </row>
    <row r="14" spans="1:27">
      <c r="A14" s="7" t="s">
        <v>12</v>
      </c>
      <c r="B14" s="7"/>
      <c r="C14" s="7"/>
      <c r="D14" s="27">
        <v>0.61</v>
      </c>
      <c r="E14" s="5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0"/>
      <c r="T14" s="7"/>
      <c r="U14" s="7"/>
      <c r="V14" s="7"/>
      <c r="W14" s="7"/>
      <c r="X14" s="7"/>
      <c r="Y14" s="7"/>
      <c r="Z14" s="7"/>
      <c r="AA14" s="7"/>
    </row>
    <row r="15" spans="1:27">
      <c r="A15" s="7" t="s">
        <v>13</v>
      </c>
      <c r="B15" s="7"/>
      <c r="C15" s="7"/>
      <c r="D15" s="7">
        <f>9930457/13941231</f>
        <v>0.71230847548541443</v>
      </c>
      <c r="E15" s="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0"/>
      <c r="T15" s="7"/>
      <c r="U15" s="7"/>
      <c r="V15" s="7"/>
      <c r="W15" s="7"/>
      <c r="X15" s="7"/>
      <c r="Y15" s="7"/>
      <c r="Z15" s="7"/>
      <c r="AA15" s="7"/>
    </row>
    <row r="16" spans="1:27" s="2" customFormat="1">
      <c r="A16" s="10" t="s">
        <v>22</v>
      </c>
      <c r="B16" s="10"/>
      <c r="C16" s="10"/>
      <c r="D16" s="75">
        <v>1</v>
      </c>
      <c r="E16" s="45"/>
      <c r="G16" s="38"/>
      <c r="H16" s="10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8">
      <c r="A17" s="7" t="s">
        <v>23</v>
      </c>
      <c r="B17" s="7"/>
      <c r="C17" s="7"/>
      <c r="D17" s="36">
        <v>0.04</v>
      </c>
      <c r="E17" s="9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10"/>
      <c r="T17" s="7"/>
      <c r="U17" s="7"/>
      <c r="V17" s="7"/>
      <c r="W17" s="7"/>
      <c r="X17" s="7"/>
      <c r="Y17" s="7"/>
      <c r="Z17" s="7"/>
      <c r="AA17" s="7"/>
    </row>
    <row r="18" spans="1:28" ht="27" customHeight="1">
      <c r="A18" s="7" t="s">
        <v>45</v>
      </c>
      <c r="C18" s="7"/>
      <c r="D18" s="4">
        <v>-89000000</v>
      </c>
      <c r="E18" s="9"/>
      <c r="G18" s="4">
        <v>400000000</v>
      </c>
      <c r="H18" s="89" t="s">
        <v>52</v>
      </c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7"/>
      <c r="U18" s="7"/>
      <c r="V18" s="7"/>
      <c r="W18" s="7"/>
      <c r="X18" s="7"/>
      <c r="Y18" s="7"/>
      <c r="Z18" s="7"/>
      <c r="AA18" s="7"/>
    </row>
    <row r="19" spans="1:28">
      <c r="A19" s="7" t="s">
        <v>46</v>
      </c>
      <c r="C19" s="7"/>
      <c r="D19" s="4">
        <v>-88000000</v>
      </c>
      <c r="E19" s="9"/>
      <c r="F19" s="7"/>
      <c r="G19" s="7"/>
      <c r="H19" s="7" t="s">
        <v>30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10"/>
      <c r="T19" s="7"/>
      <c r="U19" s="7"/>
      <c r="V19" s="7"/>
      <c r="W19" s="7"/>
      <c r="X19" s="7"/>
      <c r="Y19" s="7"/>
      <c r="Z19" s="7"/>
      <c r="AA19" s="7"/>
    </row>
    <row r="20" spans="1:28" s="59" customFormat="1">
      <c r="B20" s="60" t="s">
        <v>26</v>
      </c>
      <c r="D20" s="61">
        <v>0.5</v>
      </c>
      <c r="E20" s="62"/>
      <c r="F20" s="72">
        <v>0.5</v>
      </c>
      <c r="G20" s="62"/>
      <c r="H20" s="62">
        <v>0.5</v>
      </c>
      <c r="I20" s="62"/>
      <c r="J20" s="62">
        <v>0.55000000000000004</v>
      </c>
      <c r="K20" s="62"/>
      <c r="L20" s="62">
        <v>0.6</v>
      </c>
      <c r="M20" s="62"/>
      <c r="N20" s="62">
        <v>0.66</v>
      </c>
      <c r="O20" s="62"/>
      <c r="P20" s="62">
        <v>0.66</v>
      </c>
      <c r="Q20" s="62"/>
      <c r="R20" s="62">
        <f>P20</f>
        <v>0.66</v>
      </c>
      <c r="S20" s="62"/>
      <c r="T20" s="62">
        <f>R20</f>
        <v>0.66</v>
      </c>
      <c r="U20" s="62"/>
      <c r="V20" s="62">
        <f>T20</f>
        <v>0.66</v>
      </c>
      <c r="W20" s="62"/>
      <c r="X20" s="62">
        <f>V20</f>
        <v>0.66</v>
      </c>
      <c r="Y20" s="62"/>
      <c r="Z20" s="62">
        <f>X20</f>
        <v>0.66</v>
      </c>
    </row>
    <row r="21" spans="1:28">
      <c r="B21" s="70"/>
      <c r="D21" s="9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0"/>
      <c r="S21" s="7"/>
      <c r="T21" s="7"/>
      <c r="U21" s="7"/>
      <c r="V21" s="7"/>
      <c r="W21" s="7"/>
      <c r="X21" s="7"/>
      <c r="Y21" s="7"/>
      <c r="Z21" s="7"/>
    </row>
    <row r="22" spans="1:28">
      <c r="D22" s="9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0"/>
      <c r="S22" s="7"/>
      <c r="T22" s="7"/>
      <c r="U22" s="7"/>
      <c r="V22" s="7"/>
      <c r="W22" s="7"/>
      <c r="X22" s="7"/>
      <c r="Y22" s="7"/>
      <c r="Z22" s="7"/>
    </row>
    <row r="23" spans="1:28">
      <c r="A23" s="7"/>
      <c r="B23" s="7"/>
      <c r="C23" s="7"/>
      <c r="D23" s="4"/>
      <c r="E23" s="9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10"/>
      <c r="T23" s="7"/>
      <c r="U23" s="7"/>
      <c r="V23" s="7"/>
      <c r="W23" s="7"/>
      <c r="X23" s="7"/>
      <c r="Y23" s="7"/>
      <c r="Z23" s="7"/>
      <c r="AA23" s="7"/>
    </row>
    <row r="24" spans="1:28" ht="15" customHeight="1">
      <c r="A24" s="55" t="s">
        <v>51</v>
      </c>
      <c r="E24" s="5"/>
      <c r="S24" s="3"/>
    </row>
    <row r="25" spans="1:28" ht="15" customHeight="1">
      <c r="A25" s="55"/>
      <c r="E25" s="5"/>
      <c r="S25" s="3"/>
    </row>
    <row r="26" spans="1:28">
      <c r="C26" s="6"/>
      <c r="D26" s="87" t="s">
        <v>27</v>
      </c>
      <c r="E26" s="87"/>
      <c r="F26" s="87">
        <v>2015</v>
      </c>
      <c r="G26" s="87"/>
      <c r="H26" s="87">
        <v>2016</v>
      </c>
      <c r="I26" s="87"/>
      <c r="J26" s="87">
        <v>2017</v>
      </c>
      <c r="K26" s="87"/>
      <c r="L26" s="87">
        <v>2018</v>
      </c>
      <c r="M26" s="87"/>
      <c r="N26" s="87">
        <v>2019</v>
      </c>
      <c r="O26" s="87"/>
      <c r="P26" s="87">
        <v>2020</v>
      </c>
      <c r="Q26" s="87"/>
      <c r="R26" s="87">
        <v>2021</v>
      </c>
      <c r="S26" s="87"/>
      <c r="T26" s="2"/>
      <c r="U26" s="2">
        <v>2022</v>
      </c>
      <c r="V26" s="2"/>
      <c r="W26" s="2">
        <v>2023</v>
      </c>
      <c r="X26" s="2"/>
      <c r="Y26" s="2">
        <v>2024</v>
      </c>
      <c r="Z26" s="2"/>
      <c r="AA26" s="2">
        <v>2025</v>
      </c>
    </row>
    <row r="27" spans="1:28">
      <c r="A27" s="3"/>
      <c r="B27" s="3"/>
      <c r="C27" s="3"/>
      <c r="D27" s="11"/>
      <c r="E27" s="13"/>
      <c r="F27" s="11"/>
      <c r="G27" s="13"/>
      <c r="H27" s="11"/>
      <c r="I27" s="13"/>
      <c r="J27" s="11"/>
      <c r="K27" s="13"/>
      <c r="L27" s="11"/>
      <c r="M27" s="13"/>
      <c r="N27" s="11"/>
      <c r="O27" s="13"/>
      <c r="P27" s="11"/>
      <c r="Q27" s="13"/>
      <c r="R27" s="11"/>
      <c r="S27" s="12"/>
      <c r="T27" s="11"/>
      <c r="U27" s="13"/>
      <c r="V27" s="11"/>
      <c r="W27" s="12"/>
      <c r="X27" s="11"/>
      <c r="Y27" s="12"/>
      <c r="Z27" s="11"/>
      <c r="AA27" s="12"/>
    </row>
    <row r="28" spans="1:28">
      <c r="A28" s="14" t="s">
        <v>5</v>
      </c>
      <c r="B28" s="3"/>
      <c r="C28" s="3"/>
      <c r="D28" s="29" t="s">
        <v>6</v>
      </c>
      <c r="E28" s="30" t="s">
        <v>7</v>
      </c>
      <c r="F28" s="29" t="s">
        <v>6</v>
      </c>
      <c r="G28" s="30" t="s">
        <v>7</v>
      </c>
      <c r="H28" s="29" t="s">
        <v>6</v>
      </c>
      <c r="I28" s="30" t="s">
        <v>7</v>
      </c>
      <c r="J28" s="29" t="s">
        <v>6</v>
      </c>
      <c r="K28" s="30" t="s">
        <v>7</v>
      </c>
      <c r="L28" s="29" t="s">
        <v>6</v>
      </c>
      <c r="M28" s="30" t="s">
        <v>7</v>
      </c>
      <c r="N28" s="29" t="s">
        <v>6</v>
      </c>
      <c r="O28" s="30" t="s">
        <v>7</v>
      </c>
      <c r="P28" s="29" t="s">
        <v>6</v>
      </c>
      <c r="Q28" s="30" t="s">
        <v>7</v>
      </c>
      <c r="R28" s="15" t="s">
        <v>6</v>
      </c>
      <c r="S28" s="66" t="s">
        <v>7</v>
      </c>
      <c r="T28" s="15" t="s">
        <v>6</v>
      </c>
      <c r="U28" s="16" t="s">
        <v>7</v>
      </c>
      <c r="V28" s="15" t="s">
        <v>6</v>
      </c>
      <c r="W28" s="31" t="s">
        <v>7</v>
      </c>
      <c r="X28" s="15" t="s">
        <v>6</v>
      </c>
      <c r="Y28" s="31" t="s">
        <v>7</v>
      </c>
      <c r="Z28" s="15" t="s">
        <v>6</v>
      </c>
      <c r="AA28" s="31" t="s">
        <v>7</v>
      </c>
    </row>
    <row r="29" spans="1:28">
      <c r="A29" s="18" t="s">
        <v>8</v>
      </c>
      <c r="B29" s="18"/>
      <c r="C29" s="18"/>
      <c r="D29" s="19"/>
      <c r="E29" s="21"/>
      <c r="F29" s="19"/>
      <c r="G29" s="22"/>
      <c r="H29" s="19"/>
      <c r="I29" s="22"/>
      <c r="J29" s="19"/>
      <c r="K29" s="22"/>
      <c r="L29" s="19"/>
      <c r="M29" s="22"/>
      <c r="N29" s="19"/>
      <c r="O29" s="22"/>
      <c r="P29" s="19"/>
      <c r="Q29" s="21"/>
      <c r="R29" s="19"/>
      <c r="S29" s="67"/>
      <c r="T29" s="19"/>
      <c r="U29" s="21"/>
      <c r="V29" s="19"/>
      <c r="W29" s="20"/>
      <c r="X29" s="19"/>
      <c r="Y29" s="20"/>
      <c r="Z29" s="19"/>
      <c r="AA29" s="20"/>
    </row>
    <row r="30" spans="1:28">
      <c r="A30" s="18"/>
      <c r="B30" s="3" t="s">
        <v>36</v>
      </c>
      <c r="C30" s="18"/>
      <c r="D30" s="25">
        <f>$G$4*0.5*D11</f>
        <v>304200000</v>
      </c>
      <c r="E30" s="26">
        <f>D30*(1-D$13)</f>
        <v>0</v>
      </c>
      <c r="F30" s="25">
        <f>$G$4*F11</f>
        <v>689520000</v>
      </c>
      <c r="G30" s="26">
        <f>F30*(1-F$13)</f>
        <v>0</v>
      </c>
      <c r="H30" s="25">
        <f>$G$4*H11</f>
        <v>770640000</v>
      </c>
      <c r="I30" s="26">
        <f>H30*(1-H$13)</f>
        <v>0</v>
      </c>
      <c r="J30" s="25">
        <f>$G$4*J11</f>
        <v>811200000</v>
      </c>
      <c r="K30" s="26">
        <f>0.5*J30*(1-J$13+1-H$13)</f>
        <v>20280000.000000019</v>
      </c>
      <c r="L30" s="25">
        <f>$G$4*L11</f>
        <v>811200000</v>
      </c>
      <c r="M30" s="26">
        <f>0.5*L30*(1-L$13+1-J$13)</f>
        <v>44616000.000000037</v>
      </c>
      <c r="N30" s="25">
        <f>$G$4*N11</f>
        <v>811200000</v>
      </c>
      <c r="O30" s="26">
        <f>0.5*N30*(1-N$13+1-L$13)</f>
        <v>52727999.999999955</v>
      </c>
      <c r="P30" s="25">
        <f>$G$4*P11</f>
        <v>811200000</v>
      </c>
      <c r="Q30" s="26">
        <f>0.5*P30*(1-P$13+1-N$13)</f>
        <v>68952000.000000015</v>
      </c>
      <c r="R30" s="25">
        <f>$G$4*R11</f>
        <v>811200000</v>
      </c>
      <c r="S30" s="32">
        <f>0.5*R30*(1-R$13+1-P$13)</f>
        <v>81120000.00000003</v>
      </c>
      <c r="T30" s="25">
        <f>$G$4*T11</f>
        <v>811200000</v>
      </c>
      <c r="U30" s="26">
        <f>0.5*T30*(1-T$13+1-R$13)</f>
        <v>81120000.00000003</v>
      </c>
      <c r="V30" s="25">
        <f>$G$4*V11</f>
        <v>811200000</v>
      </c>
      <c r="W30" s="26">
        <f>0.5*V30*(1-V$13+1-T$13)</f>
        <v>81120000.00000003</v>
      </c>
      <c r="X30" s="25">
        <f>$G$4*X11</f>
        <v>811200000</v>
      </c>
      <c r="Y30" s="26">
        <f>0.5*X30*(1-X$13+1-V$13)</f>
        <v>81120000.00000003</v>
      </c>
      <c r="Z30" s="25">
        <f>$G$4*Z11</f>
        <v>811200000</v>
      </c>
      <c r="AA30" s="32">
        <f>0.5*Z30*(1-Z$13+1-X$13)</f>
        <v>81120000.00000003</v>
      </c>
      <c r="AB30" s="71"/>
    </row>
    <row r="31" spans="1:28">
      <c r="A31" s="18"/>
      <c r="B31" s="3" t="s">
        <v>37</v>
      </c>
      <c r="C31" s="18"/>
      <c r="D31" s="25">
        <f>$G$5*0.5*D11</f>
        <v>6142500</v>
      </c>
      <c r="E31" s="26">
        <f>D31*(1-D$13)</f>
        <v>0</v>
      </c>
      <c r="F31" s="25">
        <f>$G$5*F11</f>
        <v>13923000</v>
      </c>
      <c r="G31" s="26">
        <f>F31*(1-F$13)</f>
        <v>0</v>
      </c>
      <c r="H31" s="25">
        <f>$G$5*H11</f>
        <v>15561000</v>
      </c>
      <c r="I31" s="26">
        <f>H31*(1-H$13)</f>
        <v>0</v>
      </c>
      <c r="J31" s="25">
        <f>$G$5*J11</f>
        <v>16380000</v>
      </c>
      <c r="K31" s="26">
        <f>0.5*J31*(1-J$13+1-H$13)</f>
        <v>409500.00000000035</v>
      </c>
      <c r="L31" s="25">
        <f>$G$5*L11</f>
        <v>16380000</v>
      </c>
      <c r="M31" s="26">
        <f>0.5*L31*(1-L$13+1-J$13)</f>
        <v>900900.00000000081</v>
      </c>
      <c r="N31" s="25">
        <f>$G$5*N11</f>
        <v>16380000</v>
      </c>
      <c r="O31" s="26">
        <f>0.5*N31*(1-N$13+1-L$13)</f>
        <v>1064699.9999999991</v>
      </c>
      <c r="P31" s="25">
        <f>$G$5*P11</f>
        <v>16380000</v>
      </c>
      <c r="Q31" s="26">
        <f>0.5*P31*(1-P$13+1-N$13)</f>
        <v>1392300.0000000002</v>
      </c>
      <c r="R31" s="25">
        <f>$G$5*R11</f>
        <v>16380000</v>
      </c>
      <c r="S31" s="32">
        <f>0.5*R31*(1-R$13+1-P$13)</f>
        <v>1638000.0000000005</v>
      </c>
      <c r="T31" s="25">
        <f>$G$5*T11</f>
        <v>16380000</v>
      </c>
      <c r="U31" s="26">
        <f>0.5*T31*(1-T$13+1-R$13)</f>
        <v>1638000.0000000005</v>
      </c>
      <c r="V31" s="25">
        <f>$G$5*V11</f>
        <v>16380000</v>
      </c>
      <c r="W31" s="26">
        <f>0.5*V31*(1-V$13+1-T$13)</f>
        <v>1638000.0000000005</v>
      </c>
      <c r="X31" s="25">
        <f>$G$5*X11</f>
        <v>16380000</v>
      </c>
      <c r="Y31" s="26">
        <f>0.5*X31*(1-X$13+1-V$13)</f>
        <v>1638000.0000000005</v>
      </c>
      <c r="Z31" s="25">
        <f>$G$5*Z11</f>
        <v>16380000</v>
      </c>
      <c r="AA31" s="32">
        <f>0.5*Z31*(1-Z$13+1-X$13)</f>
        <v>1638000.0000000005</v>
      </c>
    </row>
    <row r="32" spans="1:28">
      <c r="A32" s="18"/>
      <c r="B32" t="s">
        <v>16</v>
      </c>
      <c r="C32" s="18"/>
      <c r="D32" s="25">
        <f>G18*0.5</f>
        <v>200000000</v>
      </c>
      <c r="E32" s="26">
        <f>D32*(1-D$13)</f>
        <v>0</v>
      </c>
      <c r="F32" s="25">
        <f>D32*2</f>
        <v>400000000</v>
      </c>
      <c r="G32" s="26">
        <f>F32*(1-F$13)</f>
        <v>0</v>
      </c>
      <c r="H32" s="25">
        <f>F32</f>
        <v>400000000</v>
      </c>
      <c r="I32" s="26">
        <f>H32*(1-H$13)</f>
        <v>0</v>
      </c>
      <c r="J32" s="25">
        <f>H32</f>
        <v>400000000</v>
      </c>
      <c r="K32" s="26">
        <f>0.5*J32*(1-J$13+1-H$13)</f>
        <v>10000000.000000009</v>
      </c>
      <c r="L32" s="25">
        <f>J32</f>
        <v>400000000</v>
      </c>
      <c r="M32" s="26">
        <f>0.5*L32*(1-L$13+1-J$13)</f>
        <v>22000000.000000019</v>
      </c>
      <c r="N32" s="25">
        <f>L32</f>
        <v>400000000</v>
      </c>
      <c r="O32" s="26">
        <f>0.5*N32*(1-N$13+1-L$13)</f>
        <v>25999999.999999978</v>
      </c>
      <c r="P32" s="25">
        <f>N32</f>
        <v>400000000</v>
      </c>
      <c r="Q32" s="26">
        <f>0.5*P32*(1-P$13+1-N$13)</f>
        <v>34000000.000000007</v>
      </c>
      <c r="R32" s="25">
        <f>P32</f>
        <v>400000000</v>
      </c>
      <c r="S32" s="32">
        <f>0.5*R32*(1-R$13+1-P$13)</f>
        <v>40000000.000000015</v>
      </c>
      <c r="T32" s="25">
        <f>R32</f>
        <v>400000000</v>
      </c>
      <c r="U32" s="26">
        <f>0.5*T32*(1-T$13+1-R$13)</f>
        <v>40000000.000000015</v>
      </c>
      <c r="V32" s="25">
        <f>T32</f>
        <v>400000000</v>
      </c>
      <c r="W32" s="26">
        <f>0.5*V32*(1-V$13+1-T$13)</f>
        <v>40000000.000000015</v>
      </c>
      <c r="X32" s="25">
        <f>V32</f>
        <v>400000000</v>
      </c>
      <c r="Y32" s="26">
        <f>0.5*X32*(1-X$13+1-V$13)</f>
        <v>40000000.000000015</v>
      </c>
      <c r="Z32" s="25">
        <f>X32</f>
        <v>400000000</v>
      </c>
      <c r="AA32" s="32">
        <f>0.5*Z32*(1-Z$13+1-X$13)</f>
        <v>40000000.000000015</v>
      </c>
    </row>
    <row r="33" spans="1:29">
      <c r="A33" s="18"/>
      <c r="B33" s="18"/>
      <c r="C33" s="18"/>
      <c r="D33" s="25"/>
      <c r="E33" s="26"/>
      <c r="F33" s="25"/>
      <c r="G33" s="4"/>
      <c r="H33" s="25"/>
      <c r="I33" s="4"/>
      <c r="J33" s="25"/>
      <c r="K33" s="4"/>
      <c r="L33" s="25"/>
      <c r="M33" s="4"/>
      <c r="N33" s="25"/>
      <c r="O33" s="4"/>
      <c r="P33" s="25"/>
      <c r="Q33" s="26"/>
      <c r="R33" s="25"/>
      <c r="S33" s="32"/>
      <c r="T33" s="25"/>
      <c r="U33" s="26"/>
      <c r="V33" s="25"/>
      <c r="W33" s="32"/>
      <c r="X33" s="25"/>
      <c r="Y33" s="32"/>
      <c r="Z33" s="25"/>
      <c r="AA33" s="32"/>
    </row>
    <row r="34" spans="1:29">
      <c r="A34" t="s">
        <v>10</v>
      </c>
      <c r="C34" s="18"/>
      <c r="D34" s="25"/>
      <c r="E34" s="26"/>
      <c r="F34" s="25"/>
      <c r="G34" s="4"/>
      <c r="H34" s="25"/>
      <c r="I34" s="4"/>
      <c r="J34" s="25"/>
      <c r="K34" s="4"/>
      <c r="L34" s="25"/>
      <c r="M34" s="4"/>
      <c r="N34" s="25"/>
      <c r="O34" s="4"/>
      <c r="P34" s="25"/>
      <c r="Q34" s="26"/>
      <c r="R34" s="25"/>
      <c r="S34" s="32"/>
      <c r="T34" s="25"/>
      <c r="U34" s="26"/>
      <c r="V34" s="25"/>
      <c r="W34" s="32"/>
      <c r="X34" s="25"/>
      <c r="Y34" s="32"/>
      <c r="Z34" s="25"/>
      <c r="AA34" s="32"/>
    </row>
    <row r="35" spans="1:29">
      <c r="B35" t="s">
        <v>0</v>
      </c>
      <c r="C35" s="18"/>
      <c r="D35" s="25">
        <f>$G$7*0.5*D11</f>
        <v>28125000</v>
      </c>
      <c r="E35" s="26">
        <f>D35*$D$12</f>
        <v>8437500</v>
      </c>
      <c r="F35" s="25">
        <f>$G$7*F11</f>
        <v>63750000</v>
      </c>
      <c r="G35" s="26">
        <f>F35*$D$12</f>
        <v>19125000</v>
      </c>
      <c r="H35" s="25">
        <f>$G$7*H11</f>
        <v>71250000</v>
      </c>
      <c r="I35" s="26">
        <f>H35*$D$12</f>
        <v>21375000</v>
      </c>
      <c r="J35" s="25">
        <f>$G$7*J11</f>
        <v>75000000</v>
      </c>
      <c r="K35" s="26">
        <f>J35*$D$12</f>
        <v>22500000</v>
      </c>
      <c r="L35" s="25">
        <f>$G$7*L11</f>
        <v>75000000</v>
      </c>
      <c r="M35" s="26">
        <f>L35*$D$12</f>
        <v>22500000</v>
      </c>
      <c r="N35" s="25">
        <f>$G$7*N11</f>
        <v>75000000</v>
      </c>
      <c r="O35" s="26">
        <f>N35*$D$12</f>
        <v>22500000</v>
      </c>
      <c r="P35" s="25">
        <f>$G$7*P11</f>
        <v>75000000</v>
      </c>
      <c r="Q35" s="26">
        <f>P35*$D$12</f>
        <v>22500000</v>
      </c>
      <c r="R35" s="25">
        <f>$G$7*R11</f>
        <v>75000000</v>
      </c>
      <c r="S35" s="32">
        <f>R35*$D$12</f>
        <v>22500000</v>
      </c>
      <c r="T35" s="25">
        <f>$G$7*T11</f>
        <v>75000000</v>
      </c>
      <c r="U35" s="26">
        <f>T35*$D$12</f>
        <v>22500000</v>
      </c>
      <c r="V35" s="25">
        <f>$G$7*V11</f>
        <v>75000000</v>
      </c>
      <c r="W35" s="32">
        <f>V35*$D$12</f>
        <v>22500000</v>
      </c>
      <c r="X35" s="25">
        <f>$G$7*X11</f>
        <v>75000000</v>
      </c>
      <c r="Y35" s="32">
        <f>X35*$D$12</f>
        <v>22500000</v>
      </c>
      <c r="Z35" s="25">
        <f>$G$7*Z11</f>
        <v>75000000</v>
      </c>
      <c r="AA35" s="32">
        <f>Z35*$D$12</f>
        <v>22500000</v>
      </c>
    </row>
    <row r="36" spans="1:29">
      <c r="B36" t="s">
        <v>1</v>
      </c>
      <c r="C36" s="18"/>
      <c r="D36" s="25">
        <f>$G$8*0.5*D11</f>
        <v>3375000</v>
      </c>
      <c r="E36" s="26">
        <f>D36*$D$12</f>
        <v>1012500</v>
      </c>
      <c r="F36" s="25">
        <f>$G$8*F11</f>
        <v>7650000</v>
      </c>
      <c r="G36" s="26">
        <f>F36*$D$12</f>
        <v>2295000</v>
      </c>
      <c r="H36" s="25">
        <f>$G$8*H11</f>
        <v>8550000</v>
      </c>
      <c r="I36" s="26">
        <f>H36*$D$12</f>
        <v>2565000</v>
      </c>
      <c r="J36" s="25">
        <f>$G$8*J11</f>
        <v>9000000</v>
      </c>
      <c r="K36" s="26">
        <f>J36*$D$12</f>
        <v>2700000</v>
      </c>
      <c r="L36" s="25">
        <f>$G$8*L11</f>
        <v>9000000</v>
      </c>
      <c r="M36" s="26">
        <f>L36*$D$12</f>
        <v>2700000</v>
      </c>
      <c r="N36" s="25">
        <f>$G$8*N11</f>
        <v>9000000</v>
      </c>
      <c r="O36" s="26">
        <f>N36*$D$12</f>
        <v>2700000</v>
      </c>
      <c r="P36" s="25">
        <f>$G$8*P11</f>
        <v>9000000</v>
      </c>
      <c r="Q36" s="26">
        <f>P36*$D$12</f>
        <v>2700000</v>
      </c>
      <c r="R36" s="25">
        <f>$G$8*R11</f>
        <v>9000000</v>
      </c>
      <c r="S36" s="32">
        <f>R36*$D$12</f>
        <v>2700000</v>
      </c>
      <c r="T36" s="25">
        <f>$G$8*T11</f>
        <v>9000000</v>
      </c>
      <c r="U36" s="26">
        <f>T36*$D$12</f>
        <v>2700000</v>
      </c>
      <c r="V36" s="25">
        <f>$G$8*V11</f>
        <v>9000000</v>
      </c>
      <c r="W36" s="32">
        <f>V36*$D$12</f>
        <v>2700000</v>
      </c>
      <c r="X36" s="25">
        <f>$G$8*X11</f>
        <v>9000000</v>
      </c>
      <c r="Y36" s="32">
        <f>X36*$D$12</f>
        <v>2700000</v>
      </c>
      <c r="Z36" s="25">
        <f>$G$8*Z11</f>
        <v>9000000</v>
      </c>
      <c r="AA36" s="32">
        <f>Z36*$D$12</f>
        <v>2700000</v>
      </c>
    </row>
    <row r="37" spans="1:29">
      <c r="A37" s="18"/>
      <c r="B37" s="18"/>
      <c r="C37" s="18"/>
      <c r="D37" s="25"/>
      <c r="E37" s="26"/>
      <c r="F37" s="25"/>
      <c r="G37" s="26"/>
      <c r="H37" s="25"/>
      <c r="I37" s="26"/>
      <c r="J37" s="25"/>
      <c r="K37" s="26"/>
      <c r="L37" s="25"/>
      <c r="M37" s="26"/>
      <c r="N37" s="25"/>
      <c r="O37" s="26"/>
      <c r="P37" s="25"/>
      <c r="Q37" s="26"/>
      <c r="R37" s="25"/>
      <c r="S37" s="32"/>
      <c r="T37" s="25"/>
      <c r="U37" s="26"/>
      <c r="V37" s="25"/>
      <c r="W37" s="32"/>
      <c r="X37" s="25"/>
      <c r="Y37" s="32"/>
      <c r="Z37" s="25"/>
      <c r="AA37" s="32"/>
    </row>
    <row r="38" spans="1:29">
      <c r="A38" s="18" t="s">
        <v>9</v>
      </c>
      <c r="B38" s="18"/>
      <c r="C38" s="18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6"/>
      <c r="R38" s="25"/>
      <c r="S38" s="32"/>
      <c r="T38" s="25"/>
      <c r="U38" s="26"/>
      <c r="V38" s="25"/>
      <c r="W38" s="32"/>
      <c r="X38" s="25"/>
      <c r="Y38" s="32"/>
      <c r="Z38" s="25"/>
      <c r="AA38" s="32"/>
      <c r="AC38" s="71">
        <f>SUM(S30:S40)</f>
        <v>151985681.34320426</v>
      </c>
    </row>
    <row r="39" spans="1:29">
      <c r="A39" s="18"/>
      <c r="B39" t="s">
        <v>15</v>
      </c>
      <c r="D39" s="25">
        <f>0.5*(7300000+1500000+1200000)</f>
        <v>5000000</v>
      </c>
      <c r="E39" s="26">
        <f>D39*(1-$D$15)</f>
        <v>1438457.622572928</v>
      </c>
      <c r="F39" s="25">
        <f>D39*2</f>
        <v>10000000</v>
      </c>
      <c r="G39" s="26">
        <f>F39*(1-$D$15)</f>
        <v>2876915.2451458559</v>
      </c>
      <c r="H39" s="25">
        <f>F39</f>
        <v>10000000</v>
      </c>
      <c r="I39" s="26">
        <f>H39*(1-$D$15)</f>
        <v>2876915.2451458559</v>
      </c>
      <c r="J39" s="25">
        <f>H39</f>
        <v>10000000</v>
      </c>
      <c r="K39" s="26">
        <f>J39*(1-$D$15)</f>
        <v>2876915.2451458559</v>
      </c>
      <c r="L39" s="25">
        <f>J39</f>
        <v>10000000</v>
      </c>
      <c r="M39" s="26">
        <f>L39*(1-$D$15)</f>
        <v>2876915.2451458559</v>
      </c>
      <c r="N39" s="25">
        <f>L39</f>
        <v>10000000</v>
      </c>
      <c r="O39" s="26">
        <f>N39*(1-$D$15)</f>
        <v>2876915.2451458559</v>
      </c>
      <c r="P39" s="25">
        <f>N39</f>
        <v>10000000</v>
      </c>
      <c r="Q39" s="26">
        <f>P39*(1-$D$15)</f>
        <v>2876915.2451458559</v>
      </c>
      <c r="R39" s="25">
        <f>P39</f>
        <v>10000000</v>
      </c>
      <c r="S39" s="32">
        <f>R39*(1-$D$15)</f>
        <v>2876915.2451458559</v>
      </c>
      <c r="T39" s="25">
        <f>R39</f>
        <v>10000000</v>
      </c>
      <c r="U39" s="26">
        <f>T39*(1-$D$15)</f>
        <v>2876915.2451458559</v>
      </c>
      <c r="V39" s="25">
        <f>T39</f>
        <v>10000000</v>
      </c>
      <c r="W39" s="26">
        <f>V39*(1-$D$15)</f>
        <v>2876915.2451458559</v>
      </c>
      <c r="X39" s="25">
        <f>V39</f>
        <v>10000000</v>
      </c>
      <c r="Y39" s="26">
        <f>X39*(1-$D$15)</f>
        <v>2876915.2451458559</v>
      </c>
      <c r="Z39" s="25">
        <f>X39</f>
        <v>10000000</v>
      </c>
      <c r="AA39" s="32">
        <f>Z39*(1-$D$15)</f>
        <v>2876915.2451458559</v>
      </c>
    </row>
    <row r="40" spans="1:29">
      <c r="A40" s="18"/>
      <c r="B40" s="89" t="s">
        <v>54</v>
      </c>
      <c r="C40" s="89"/>
      <c r="D40" s="25">
        <f>0.6*4000000</f>
        <v>2400000</v>
      </c>
      <c r="E40" s="26">
        <f>D40*(1-$D$15)</f>
        <v>690459.65883500536</v>
      </c>
      <c r="F40" s="25">
        <f>4000000</f>
        <v>4000000</v>
      </c>
      <c r="G40" s="26">
        <f>F40*(1-$D$15)</f>
        <v>1150766.0980583422</v>
      </c>
      <c r="H40" s="25">
        <f>F40</f>
        <v>4000000</v>
      </c>
      <c r="I40" s="26">
        <f>H40*(1-$D$15)</f>
        <v>1150766.0980583422</v>
      </c>
      <c r="J40" s="25">
        <f>H40</f>
        <v>4000000</v>
      </c>
      <c r="K40" s="26">
        <f>J40*(1-$D$15)</f>
        <v>1150766.0980583422</v>
      </c>
      <c r="L40" s="25">
        <f>J40</f>
        <v>4000000</v>
      </c>
      <c r="M40" s="26">
        <f>L40*(1-$D$15)</f>
        <v>1150766.0980583422</v>
      </c>
      <c r="N40" s="25">
        <f>L40</f>
        <v>4000000</v>
      </c>
      <c r="O40" s="26">
        <f>N40*(1-$D$15)</f>
        <v>1150766.0980583422</v>
      </c>
      <c r="P40" s="25">
        <f>N40</f>
        <v>4000000</v>
      </c>
      <c r="Q40" s="26">
        <f>P40*(1-$D$15)</f>
        <v>1150766.0980583422</v>
      </c>
      <c r="R40" s="25">
        <f>P40</f>
        <v>4000000</v>
      </c>
      <c r="S40" s="32">
        <f>R40*(1-$D$15)</f>
        <v>1150766.0980583422</v>
      </c>
      <c r="T40" s="25">
        <f>R40</f>
        <v>4000000</v>
      </c>
      <c r="U40" s="26">
        <f>T40*(1-$D$15)</f>
        <v>1150766.0980583422</v>
      </c>
      <c r="V40" s="25">
        <f>T40</f>
        <v>4000000</v>
      </c>
      <c r="W40" s="26">
        <f>V40*(1-$D$15)</f>
        <v>1150766.0980583422</v>
      </c>
      <c r="X40" s="25">
        <f>V40</f>
        <v>4000000</v>
      </c>
      <c r="Y40" s="26">
        <f>X40*(1-$D$15)</f>
        <v>1150766.0980583422</v>
      </c>
      <c r="Z40" s="25">
        <f>X40</f>
        <v>4000000</v>
      </c>
      <c r="AA40" s="32">
        <f>Z40*(1-$D$15)</f>
        <v>1150766.0980583422</v>
      </c>
    </row>
    <row r="41" spans="1:29">
      <c r="A41" s="18"/>
      <c r="B41" s="89"/>
      <c r="C41" s="89"/>
      <c r="D41" s="25"/>
      <c r="E41" s="26"/>
      <c r="F41" s="25"/>
      <c r="G41" s="26"/>
      <c r="H41" s="25"/>
      <c r="I41" s="26"/>
      <c r="J41" s="25"/>
      <c r="K41" s="26"/>
      <c r="L41" s="25"/>
      <c r="M41" s="26"/>
      <c r="N41" s="25"/>
      <c r="O41" s="26"/>
      <c r="P41" s="25"/>
      <c r="Q41" s="26"/>
      <c r="R41" s="25"/>
      <c r="S41" s="32"/>
      <c r="T41" s="25"/>
      <c r="U41" s="26"/>
      <c r="V41" s="25"/>
      <c r="W41" s="32"/>
      <c r="X41" s="25"/>
      <c r="Y41" s="32"/>
      <c r="Z41" s="25"/>
      <c r="AA41" s="32"/>
    </row>
    <row r="42" spans="1:29">
      <c r="A42" s="18"/>
      <c r="B42" s="33"/>
      <c r="C42" s="33"/>
      <c r="D42" s="25"/>
      <c r="E42" s="26"/>
      <c r="F42" s="25"/>
      <c r="G42" s="26"/>
      <c r="H42" s="25"/>
      <c r="I42" s="26"/>
      <c r="J42" s="25"/>
      <c r="K42" s="26"/>
      <c r="L42" s="25"/>
      <c r="M42" s="26"/>
      <c r="N42" s="25"/>
      <c r="O42" s="26"/>
      <c r="P42" s="25"/>
      <c r="Q42" s="26"/>
      <c r="R42" s="25"/>
      <c r="S42" s="32"/>
      <c r="T42" s="25"/>
      <c r="U42" s="26"/>
      <c r="V42" s="25"/>
      <c r="W42" s="32"/>
      <c r="X42" s="25"/>
      <c r="Y42" s="32"/>
      <c r="Z42" s="25"/>
      <c r="AA42" s="32"/>
    </row>
    <row r="43" spans="1:29">
      <c r="A43" s="18" t="s">
        <v>21</v>
      </c>
      <c r="B43" s="33"/>
      <c r="C43" s="33"/>
      <c r="D43" s="35"/>
      <c r="E43" s="32">
        <f>-(D71-E71)*$D16*$D17</f>
        <v>-13506543.308743682</v>
      </c>
      <c r="F43" s="26"/>
      <c r="G43" s="32">
        <f>-(F71-G71)*$D16*$D17</f>
        <v>-30535812.74627183</v>
      </c>
      <c r="H43" s="25"/>
      <c r="I43" s="32">
        <f>-(H71-I71)*$D16*$D17</f>
        <v>-34081332.746271834</v>
      </c>
      <c r="J43" s="25"/>
      <c r="K43" s="32">
        <f>-(J71-K71)*$D16*$D17</f>
        <v>-35026512.746271834</v>
      </c>
      <c r="L43" s="25"/>
      <c r="M43" s="32">
        <f>-(L71-M71)*$D16*$D17</f>
        <v>-34033416.746271834</v>
      </c>
      <c r="N43" s="25"/>
      <c r="O43" s="32">
        <f>-(N71-O71)*$D16*$D17</f>
        <v>-33702384.746271834</v>
      </c>
      <c r="P43" s="25"/>
      <c r="Q43" s="32">
        <f>-(P71-Q71)*$D16*$D17</f>
        <v>-33040320.74627183</v>
      </c>
      <c r="R43" s="25"/>
      <c r="S43" s="32">
        <f>-(R71-S71)*$D16*$D17</f>
        <v>-32543772.74627183</v>
      </c>
      <c r="T43" s="25"/>
      <c r="U43" s="32">
        <f>-(T71-U71)*$D16*$D17</f>
        <v>-32543772.74627183</v>
      </c>
      <c r="V43" s="25"/>
      <c r="W43" s="32">
        <f>-(V71-W71)*$D16*$D17</f>
        <v>-32543772.74627183</v>
      </c>
      <c r="X43" s="25"/>
      <c r="Y43" s="32">
        <f>-(X71-Y71)*$D16*$D17</f>
        <v>-32543772.74627183</v>
      </c>
      <c r="Z43" s="25"/>
      <c r="AA43" s="32">
        <f>-(Z71-AA71)*$D16*$D17</f>
        <v>-32543772.74627183</v>
      </c>
    </row>
    <row r="44" spans="1:29">
      <c r="A44" t="s">
        <v>47</v>
      </c>
      <c r="D44" s="35"/>
      <c r="E44" s="32">
        <v>-20000000</v>
      </c>
      <c r="F44" s="35"/>
      <c r="G44" s="32">
        <f>D18+23160500</f>
        <v>-65839500</v>
      </c>
      <c r="H44" s="84"/>
      <c r="I44" s="32">
        <f>D18+5790125</f>
        <v>-83209875</v>
      </c>
      <c r="J44" s="35"/>
      <c r="K44" s="32">
        <f>D18</f>
        <v>-89000000</v>
      </c>
      <c r="L44" s="35"/>
      <c r="M44" s="32">
        <f>K44</f>
        <v>-89000000</v>
      </c>
      <c r="N44" s="35"/>
      <c r="O44" s="32">
        <f>M44</f>
        <v>-89000000</v>
      </c>
      <c r="P44" s="35"/>
      <c r="Q44" s="32">
        <f>O44</f>
        <v>-89000000</v>
      </c>
      <c r="R44" s="35"/>
      <c r="S44" s="32">
        <f>Q44</f>
        <v>-89000000</v>
      </c>
      <c r="T44" s="35"/>
      <c r="U44" s="32">
        <f>S44</f>
        <v>-89000000</v>
      </c>
      <c r="V44" s="35"/>
      <c r="W44" s="32">
        <f>U44</f>
        <v>-89000000</v>
      </c>
      <c r="X44" s="35"/>
      <c r="Y44" s="32">
        <f>W44</f>
        <v>-89000000</v>
      </c>
      <c r="Z44" s="35"/>
      <c r="AA44" s="32">
        <f>Y44</f>
        <v>-89000000</v>
      </c>
      <c r="AC44" s="4"/>
    </row>
    <row r="45" spans="1:29">
      <c r="A45" t="s">
        <v>48</v>
      </c>
      <c r="D45" s="35"/>
      <c r="E45" s="32">
        <f>0.5*D20*$D19</f>
        <v>-22000000</v>
      </c>
      <c r="F45" s="35"/>
      <c r="G45" s="32">
        <f>F20*$D19</f>
        <v>-44000000</v>
      </c>
      <c r="H45" s="35"/>
      <c r="I45" s="32">
        <f>H20*$D19</f>
        <v>-44000000</v>
      </c>
      <c r="J45" s="35"/>
      <c r="K45" s="32">
        <f>J20*$D19</f>
        <v>-48400000.000000007</v>
      </c>
      <c r="L45" s="35"/>
      <c r="M45" s="32">
        <f>L20*$D19</f>
        <v>-52800000</v>
      </c>
      <c r="N45" s="35"/>
      <c r="O45" s="32">
        <f>N20*$D19</f>
        <v>-58080000</v>
      </c>
      <c r="P45" s="35"/>
      <c r="Q45" s="32">
        <f>P20*$D19</f>
        <v>-58080000</v>
      </c>
      <c r="R45" s="35"/>
      <c r="S45" s="32">
        <f>R20*$D19</f>
        <v>-58080000</v>
      </c>
      <c r="T45" s="35"/>
      <c r="U45" s="32">
        <f>T20*$D19</f>
        <v>-58080000</v>
      </c>
      <c r="V45" s="35"/>
      <c r="W45" s="32">
        <f>V20*$D19</f>
        <v>-58080000</v>
      </c>
      <c r="X45" s="35"/>
      <c r="Y45" s="32">
        <f>X20*$D19</f>
        <v>-58080000</v>
      </c>
      <c r="Z45" s="35"/>
      <c r="AA45" s="32">
        <f>Z20*$D19</f>
        <v>-58080000</v>
      </c>
    </row>
    <row r="46" spans="1:29">
      <c r="A46" s="18"/>
      <c r="B46" s="33"/>
      <c r="C46" s="33"/>
      <c r="D46" s="25"/>
      <c r="E46" s="26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25"/>
      <c r="Q46" s="26"/>
      <c r="R46" s="25"/>
      <c r="S46" s="32"/>
      <c r="T46" s="25"/>
      <c r="U46" s="26"/>
      <c r="V46" s="25"/>
      <c r="W46" s="32"/>
      <c r="X46" s="25"/>
      <c r="Y46" s="32"/>
      <c r="Z46" s="25"/>
      <c r="AA46" s="32"/>
    </row>
    <row r="47" spans="1:29">
      <c r="A47" s="17"/>
      <c r="B47" s="17"/>
      <c r="C47" s="17"/>
      <c r="D47" s="25"/>
      <c r="E47" s="26"/>
      <c r="F47" s="25"/>
      <c r="G47" s="26"/>
      <c r="H47" s="25"/>
      <c r="I47" s="26"/>
      <c r="J47" s="25"/>
      <c r="K47" s="26"/>
      <c r="L47" s="25"/>
      <c r="M47" s="26"/>
      <c r="N47" s="25"/>
      <c r="O47" s="26"/>
      <c r="P47" s="25"/>
      <c r="Q47" s="26"/>
      <c r="R47" s="25"/>
      <c r="S47" s="32"/>
      <c r="T47" s="25"/>
      <c r="U47" s="26"/>
      <c r="V47" s="25"/>
      <c r="W47" s="32"/>
      <c r="X47" s="25"/>
      <c r="Y47" s="32"/>
      <c r="Z47" s="25"/>
      <c r="AA47" s="32"/>
    </row>
    <row r="48" spans="1:29" s="46" customFormat="1">
      <c r="A48" s="46" t="s">
        <v>49</v>
      </c>
      <c r="D48" s="78">
        <f t="shared" ref="D48:AA48" si="0">SUM(D29:D47)</f>
        <v>549242500</v>
      </c>
      <c r="E48" s="79">
        <f t="shared" si="0"/>
        <v>-43927626.027335748</v>
      </c>
      <c r="F48" s="78">
        <f t="shared" si="0"/>
        <v>1188843000</v>
      </c>
      <c r="G48" s="79">
        <f t="shared" si="0"/>
        <v>-114927631.40306763</v>
      </c>
      <c r="H48" s="78">
        <f t="shared" si="0"/>
        <v>1280001000</v>
      </c>
      <c r="I48" s="79">
        <f t="shared" si="0"/>
        <v>-133323526.40306763</v>
      </c>
      <c r="J48" s="78">
        <f t="shared" si="0"/>
        <v>1325580000</v>
      </c>
      <c r="K48" s="79">
        <f t="shared" si="0"/>
        <v>-112509331.40306762</v>
      </c>
      <c r="L48" s="78">
        <f t="shared" si="0"/>
        <v>1325580000</v>
      </c>
      <c r="M48" s="79">
        <f t="shared" si="0"/>
        <v>-79088835.403067574</v>
      </c>
      <c r="N48" s="78">
        <f t="shared" si="0"/>
        <v>1325580000</v>
      </c>
      <c r="O48" s="79">
        <f t="shared" si="0"/>
        <v>-71762003.403067693</v>
      </c>
      <c r="P48" s="78">
        <f t="shared" si="0"/>
        <v>1325580000</v>
      </c>
      <c r="Q48" s="79">
        <f t="shared" si="0"/>
        <v>-46548339.403067604</v>
      </c>
      <c r="R48" s="78">
        <f t="shared" si="0"/>
        <v>1325580000</v>
      </c>
      <c r="S48" s="80">
        <f t="shared" si="0"/>
        <v>-27638091.403067574</v>
      </c>
      <c r="T48" s="78">
        <f t="shared" si="0"/>
        <v>1325580000</v>
      </c>
      <c r="U48" s="79">
        <f t="shared" si="0"/>
        <v>-27638091.403067574</v>
      </c>
      <c r="V48" s="78">
        <f t="shared" si="0"/>
        <v>1325580000</v>
      </c>
      <c r="W48" s="80">
        <f t="shared" si="0"/>
        <v>-27638091.403067574</v>
      </c>
      <c r="X48" s="78">
        <f t="shared" si="0"/>
        <v>1325580000</v>
      </c>
      <c r="Y48" s="80">
        <f t="shared" si="0"/>
        <v>-27638091.403067574</v>
      </c>
      <c r="Z48" s="78">
        <f t="shared" si="0"/>
        <v>1325580000</v>
      </c>
      <c r="AA48" s="80">
        <f t="shared" si="0"/>
        <v>-27638091.403067574</v>
      </c>
    </row>
    <row r="49" spans="1:29">
      <c r="D49" s="4"/>
      <c r="E49" s="4"/>
    </row>
    <row r="50" spans="1:29" s="2" customFormat="1">
      <c r="C50" s="57"/>
      <c r="D50" s="58"/>
      <c r="E50" s="85"/>
      <c r="F50" s="58"/>
      <c r="G50" s="58"/>
      <c r="H50" s="58"/>
      <c r="I50" s="58"/>
      <c r="J50" s="58"/>
      <c r="K50" s="58"/>
      <c r="L50" s="58"/>
      <c r="M50" s="58"/>
      <c r="O50" s="58"/>
      <c r="P50" s="43"/>
      <c r="Q50" s="58"/>
      <c r="R50" s="43"/>
      <c r="S50" s="58"/>
      <c r="T50" s="43"/>
      <c r="U50" s="58"/>
      <c r="V50" s="43"/>
      <c r="W50" s="58"/>
      <c r="X50" s="43"/>
      <c r="Y50" s="58"/>
      <c r="Z50" s="43"/>
      <c r="AA50" s="58"/>
      <c r="AC50" s="58"/>
    </row>
    <row r="51" spans="1:29" s="2" customFormat="1">
      <c r="C51" s="57"/>
      <c r="D51" s="57"/>
      <c r="E51" s="58"/>
      <c r="G51" s="58"/>
      <c r="I51" s="58"/>
      <c r="K51" s="58"/>
      <c r="M51" s="58"/>
      <c r="N51" s="46"/>
      <c r="O51" s="58"/>
      <c r="P51" s="43"/>
      <c r="Q51" s="58"/>
      <c r="R51" s="43"/>
      <c r="S51" s="58"/>
      <c r="T51" s="43"/>
      <c r="U51" s="58"/>
      <c r="V51" s="43"/>
      <c r="W51" s="58"/>
      <c r="X51" s="43"/>
      <c r="Y51" s="58"/>
      <c r="Z51" s="43"/>
      <c r="AA51" s="58"/>
      <c r="AC51" s="58"/>
    </row>
    <row r="52" spans="1:29" s="2" customFormat="1">
      <c r="C52" s="57"/>
      <c r="D52" s="57"/>
      <c r="E52" s="58"/>
      <c r="G52" s="43"/>
      <c r="I52" s="43"/>
      <c r="K52" s="43"/>
      <c r="M52" s="43"/>
      <c r="N52" s="46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spans="1:29" s="2" customFormat="1" ht="18.75">
      <c r="A53" s="55" t="s">
        <v>25</v>
      </c>
      <c r="C53" s="57"/>
      <c r="D53" s="57"/>
      <c r="E53" s="58"/>
      <c r="G53" s="43"/>
      <c r="I53" s="43"/>
      <c r="K53" s="43"/>
      <c r="M53" s="43"/>
      <c r="N53" s="81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1:29">
      <c r="C54" s="23"/>
      <c r="D54" s="23"/>
      <c r="E54" s="71"/>
      <c r="G54" s="71"/>
      <c r="M54" s="71"/>
      <c r="N54" s="82"/>
      <c r="O54" s="71"/>
      <c r="Q54" s="71"/>
      <c r="S54" s="71"/>
      <c r="U54" s="71"/>
      <c r="W54" s="71"/>
    </row>
    <row r="55" spans="1:29">
      <c r="A55" s="56" t="s">
        <v>18</v>
      </c>
      <c r="B55" s="48"/>
      <c r="C55" s="48"/>
      <c r="D55" s="49"/>
      <c r="E55" s="24"/>
      <c r="S55" s="3"/>
    </row>
    <row r="56" spans="1:29">
      <c r="A56" s="35"/>
      <c r="B56" s="23" t="s">
        <v>19</v>
      </c>
      <c r="C56" s="23"/>
      <c r="D56" s="50">
        <f>E48+G48</f>
        <v>-158855257.43040338</v>
      </c>
    </row>
    <row r="57" spans="1:29">
      <c r="A57" s="51"/>
      <c r="B57" s="23" t="s">
        <v>35</v>
      </c>
      <c r="C57" s="23"/>
      <c r="D57" s="50">
        <f>D56+I48+K48+M48+O48+Q48+S48</f>
        <v>-629725384.84880912</v>
      </c>
      <c r="E57" s="24"/>
      <c r="S57" s="3"/>
    </row>
    <row r="58" spans="1:29">
      <c r="A58" s="52"/>
      <c r="B58" s="53" t="s">
        <v>20</v>
      </c>
      <c r="C58" s="53"/>
      <c r="D58" s="54">
        <f>D57+U48+W48+Y48</f>
        <v>-712639659.05801189</v>
      </c>
    </row>
    <row r="59" spans="1:29">
      <c r="A59" s="86" t="s">
        <v>55</v>
      </c>
    </row>
    <row r="60" spans="1:29">
      <c r="A60" t="s">
        <v>28</v>
      </c>
      <c r="D60" s="28"/>
    </row>
    <row r="61" spans="1:29">
      <c r="D61" s="28"/>
    </row>
    <row r="62" spans="1:29">
      <c r="D62" s="28"/>
    </row>
    <row r="63" spans="1:29">
      <c r="D63" s="28"/>
    </row>
    <row r="64" spans="1:29">
      <c r="D64" s="28"/>
    </row>
    <row r="65" spans="1:31">
      <c r="D65" s="28"/>
    </row>
    <row r="66" spans="1:31">
      <c r="D66" s="28"/>
    </row>
    <row r="67" spans="1:31">
      <c r="D67" s="28"/>
    </row>
    <row r="68" spans="1:31">
      <c r="D68" s="28"/>
    </row>
    <row r="71" spans="1:31">
      <c r="D71" s="32">
        <f>(D30+D31+D35+D36+D39+D40)</f>
        <v>349242500</v>
      </c>
      <c r="E71" s="32">
        <f t="shared" ref="E71:AA71" si="1">(E30+E31+E35+E36+E39+E40)</f>
        <v>11578917.281407934</v>
      </c>
      <c r="F71" s="32">
        <f t="shared" si="1"/>
        <v>788843000</v>
      </c>
      <c r="G71" s="32">
        <f t="shared" si="1"/>
        <v>25447681.3432042</v>
      </c>
      <c r="H71" s="32">
        <f t="shared" si="1"/>
        <v>880001000</v>
      </c>
      <c r="I71" s="32">
        <f t="shared" si="1"/>
        <v>27967681.3432042</v>
      </c>
      <c r="J71" s="32">
        <f t="shared" si="1"/>
        <v>925580000</v>
      </c>
      <c r="K71" s="32">
        <f t="shared" si="1"/>
        <v>49917181.343204215</v>
      </c>
      <c r="L71" s="32">
        <f t="shared" si="1"/>
        <v>925580000</v>
      </c>
      <c r="M71" s="32">
        <f t="shared" si="1"/>
        <v>74744581.34320423</v>
      </c>
      <c r="N71" s="32">
        <f t="shared" si="1"/>
        <v>925580000</v>
      </c>
      <c r="O71" s="32">
        <f t="shared" si="1"/>
        <v>83020381.343204156</v>
      </c>
      <c r="P71" s="32">
        <f t="shared" si="1"/>
        <v>925580000</v>
      </c>
      <c r="Q71" s="32">
        <f t="shared" si="1"/>
        <v>99571981.343204215</v>
      </c>
      <c r="R71" s="32">
        <f t="shared" si="1"/>
        <v>925580000</v>
      </c>
      <c r="S71" s="32">
        <f t="shared" si="1"/>
        <v>111985681.34320423</v>
      </c>
      <c r="T71" s="32">
        <f t="shared" si="1"/>
        <v>925580000</v>
      </c>
      <c r="U71" s="32">
        <f t="shared" si="1"/>
        <v>111985681.34320423</v>
      </c>
      <c r="V71" s="32">
        <f t="shared" si="1"/>
        <v>925580000</v>
      </c>
      <c r="W71" s="32">
        <f t="shared" si="1"/>
        <v>111985681.34320423</v>
      </c>
      <c r="X71" s="32">
        <f t="shared" si="1"/>
        <v>925580000</v>
      </c>
      <c r="Y71" s="32">
        <f t="shared" si="1"/>
        <v>111985681.34320423</v>
      </c>
      <c r="Z71" s="32">
        <f t="shared" si="1"/>
        <v>925580000</v>
      </c>
      <c r="AA71" s="32">
        <f t="shared" si="1"/>
        <v>111985681.34320423</v>
      </c>
    </row>
    <row r="73" spans="1:31">
      <c r="A73" s="17"/>
    </row>
    <row r="74" spans="1:31">
      <c r="C74" s="6"/>
      <c r="D74" s="87" t="s">
        <v>27</v>
      </c>
      <c r="E74" s="87"/>
      <c r="F74" s="87">
        <v>2015</v>
      </c>
      <c r="G74" s="87"/>
      <c r="H74" s="87">
        <v>2016</v>
      </c>
      <c r="I74" s="87"/>
      <c r="J74" s="87">
        <v>2017</v>
      </c>
      <c r="K74" s="87"/>
      <c r="L74" s="87">
        <v>2018</v>
      </c>
      <c r="M74" s="87"/>
      <c r="N74" s="87">
        <v>2019</v>
      </c>
      <c r="O74" s="87"/>
      <c r="P74" s="87">
        <v>2020</v>
      </c>
      <c r="Q74" s="87"/>
      <c r="R74" s="87">
        <v>2021</v>
      </c>
      <c r="S74" s="87"/>
      <c r="T74" s="2"/>
      <c r="U74" s="2">
        <v>2022</v>
      </c>
      <c r="V74" s="2"/>
      <c r="W74" s="2">
        <v>2023</v>
      </c>
      <c r="X74" s="2"/>
      <c r="Y74" s="2">
        <v>2023</v>
      </c>
      <c r="Z74" s="2"/>
      <c r="AA74" s="2">
        <v>2023</v>
      </c>
      <c r="AC74" s="69" t="s">
        <v>43</v>
      </c>
    </row>
    <row r="75" spans="1:31">
      <c r="B75" t="s">
        <v>39</v>
      </c>
      <c r="E75" s="71">
        <f>SUM(E30:E42)</f>
        <v>11578917.281407934</v>
      </c>
      <c r="G75" s="71">
        <f>SUM(G30:G42)</f>
        <v>25447681.3432042</v>
      </c>
      <c r="I75" s="71">
        <f>SUM(I30:I42)</f>
        <v>27967681.3432042</v>
      </c>
      <c r="K75" s="71">
        <f>SUM(K30:K42)</f>
        <v>59917181.34320423</v>
      </c>
      <c r="M75" s="71">
        <f>SUM(M30:M42)</f>
        <v>96744581.34320426</v>
      </c>
      <c r="O75" s="71">
        <f>SUM(O30:O42)</f>
        <v>109020381.34320414</v>
      </c>
      <c r="Q75" s="71">
        <f>SUM(Q30:Q42)</f>
        <v>133571981.34320423</v>
      </c>
      <c r="S75" s="71">
        <f>SUM(S30:S42)</f>
        <v>151985681.34320426</v>
      </c>
      <c r="U75" s="71">
        <f>SUM(U30:U42)</f>
        <v>151985681.34320426</v>
      </c>
      <c r="W75" s="71">
        <f>SUM(W30:W42)</f>
        <v>151985681.34320426</v>
      </c>
      <c r="Y75" s="71">
        <f>SUM(Y30:Y42)</f>
        <v>151985681.34320426</v>
      </c>
      <c r="AA75" s="71">
        <f>SUM(AA30:AA42)</f>
        <v>151985681.34320426</v>
      </c>
      <c r="AC75" s="4">
        <f>SUM(E75:S75)</f>
        <v>616234086.68383741</v>
      </c>
      <c r="AE75" s="71"/>
    </row>
    <row r="76" spans="1:31">
      <c r="B76" t="s">
        <v>40</v>
      </c>
      <c r="E76" s="71">
        <f>E44</f>
        <v>-20000000</v>
      </c>
      <c r="G76" s="71">
        <f>G44</f>
        <v>-65839500</v>
      </c>
      <c r="I76" s="71">
        <f>I44</f>
        <v>-83209875</v>
      </c>
      <c r="K76" s="71">
        <f>K44</f>
        <v>-89000000</v>
      </c>
      <c r="M76" s="71">
        <f>M44</f>
        <v>-89000000</v>
      </c>
      <c r="O76" s="71">
        <f>O44</f>
        <v>-89000000</v>
      </c>
      <c r="Q76" s="71">
        <f>Q44</f>
        <v>-89000000</v>
      </c>
      <c r="S76" s="71">
        <f>S44</f>
        <v>-89000000</v>
      </c>
      <c r="U76" s="71">
        <f>U44</f>
        <v>-89000000</v>
      </c>
      <c r="W76" s="71">
        <f>W44</f>
        <v>-89000000</v>
      </c>
      <c r="Y76" s="71">
        <f>Y44</f>
        <v>-89000000</v>
      </c>
      <c r="AA76" s="71">
        <f>AA44</f>
        <v>-89000000</v>
      </c>
      <c r="AC76" s="4">
        <f>SUM(E76:S76)</f>
        <v>-614049375</v>
      </c>
      <c r="AE76" s="71"/>
    </row>
    <row r="77" spans="1:31">
      <c r="B77" t="s">
        <v>41</v>
      </c>
      <c r="E77" s="71">
        <f>E43</f>
        <v>-13506543.308743682</v>
      </c>
      <c r="G77" s="71">
        <f>G43</f>
        <v>-30535812.74627183</v>
      </c>
      <c r="I77" s="71">
        <f>I43</f>
        <v>-34081332.746271834</v>
      </c>
      <c r="K77" s="71">
        <f>K43</f>
        <v>-35026512.746271834</v>
      </c>
      <c r="M77" s="71">
        <f>M43</f>
        <v>-34033416.746271834</v>
      </c>
      <c r="O77" s="71">
        <f>O43</f>
        <v>-33702384.746271834</v>
      </c>
      <c r="Q77" s="71">
        <f>Q43</f>
        <v>-33040320.74627183</v>
      </c>
      <c r="S77" s="71">
        <f>S43</f>
        <v>-32543772.74627183</v>
      </c>
      <c r="U77" s="71">
        <f>U43</f>
        <v>-32543772.74627183</v>
      </c>
      <c r="W77" s="71">
        <f>W43</f>
        <v>-32543772.74627183</v>
      </c>
      <c r="Y77" s="71">
        <f>Y43</f>
        <v>-32543772.74627183</v>
      </c>
      <c r="AA77" s="71">
        <f>AA43</f>
        <v>-32543772.74627183</v>
      </c>
      <c r="AC77" s="4">
        <f>SUM(E77:S77)</f>
        <v>-246470096.53264648</v>
      </c>
      <c r="AE77" s="71"/>
    </row>
    <row r="78" spans="1:31">
      <c r="B78" t="s">
        <v>42</v>
      </c>
      <c r="E78" s="71">
        <f>E45</f>
        <v>-22000000</v>
      </c>
      <c r="G78" s="71">
        <f>G45</f>
        <v>-44000000</v>
      </c>
      <c r="I78" s="71">
        <f>I45</f>
        <v>-44000000</v>
      </c>
      <c r="K78" s="71">
        <f>K45</f>
        <v>-48400000.000000007</v>
      </c>
      <c r="M78" s="71">
        <f>M45</f>
        <v>-52800000</v>
      </c>
      <c r="O78" s="71">
        <f>O45</f>
        <v>-58080000</v>
      </c>
      <c r="Q78" s="71">
        <f>Q45</f>
        <v>-58080000</v>
      </c>
      <c r="S78" s="71">
        <f>S45</f>
        <v>-58080000</v>
      </c>
      <c r="U78" s="71">
        <f>U45</f>
        <v>-58080000</v>
      </c>
      <c r="W78" s="71">
        <f>W45</f>
        <v>-58080000</v>
      </c>
      <c r="Y78" s="71">
        <f>Y45</f>
        <v>-58080000</v>
      </c>
      <c r="AA78" s="71">
        <f>AA45</f>
        <v>-58080000</v>
      </c>
      <c r="AC78" s="4">
        <f>SUM(E78:S78)</f>
        <v>-385440000</v>
      </c>
      <c r="AE78" s="71"/>
    </row>
    <row r="79" spans="1:31">
      <c r="AC79" s="4"/>
    </row>
    <row r="80" spans="1:31">
      <c r="E80" s="71">
        <f>E78+E77+E76+E75</f>
        <v>-43927626.027335748</v>
      </c>
      <c r="G80" s="71">
        <f>G78+G77+G76+G75</f>
        <v>-114927631.40306765</v>
      </c>
      <c r="I80" s="71">
        <f>I78+I77+I76+I75</f>
        <v>-133323526.40306765</v>
      </c>
      <c r="K80" s="71">
        <f>K78+K77+K76+K75</f>
        <v>-112509331.40306762</v>
      </c>
      <c r="M80" s="71">
        <f>M78+M77+M76+M75</f>
        <v>-79088835.403067589</v>
      </c>
      <c r="O80" s="71">
        <f>O78+O77+O76+O75</f>
        <v>-71762003.403067708</v>
      </c>
      <c r="Q80" s="71">
        <f>Q78+Q77+Q76+Q75</f>
        <v>-46548339.403067619</v>
      </c>
      <c r="S80" s="71">
        <f>S78+S77+S76+S75</f>
        <v>-27638091.403067589</v>
      </c>
      <c r="U80" s="71">
        <f>U78+U77+U76+U75</f>
        <v>-27638091.403067589</v>
      </c>
      <c r="W80" s="71">
        <f>W78+W77+W76+W75</f>
        <v>-27638091.403067589</v>
      </c>
      <c r="Y80" s="71">
        <f>Y78+Y77+Y76+Y75</f>
        <v>-27638091.403067589</v>
      </c>
      <c r="AA80" s="71">
        <f>AA78+AA77+AA76+AA75</f>
        <v>-27638091.403067589</v>
      </c>
      <c r="AC80" s="4">
        <f>SUM(E80:S80)</f>
        <v>-629725384.84880912</v>
      </c>
      <c r="AE80" s="71"/>
    </row>
  </sheetData>
  <mergeCells count="21">
    <mergeCell ref="N74:O74"/>
    <mergeCell ref="P74:Q74"/>
    <mergeCell ref="R74:S74"/>
    <mergeCell ref="H2:I2"/>
    <mergeCell ref="B40:C41"/>
    <mergeCell ref="D26:E26"/>
    <mergeCell ref="F26:G26"/>
    <mergeCell ref="H26:I26"/>
    <mergeCell ref="J26:K26"/>
    <mergeCell ref="H3:O3"/>
    <mergeCell ref="P4:S5"/>
    <mergeCell ref="L26:M26"/>
    <mergeCell ref="N26:O26"/>
    <mergeCell ref="P26:Q26"/>
    <mergeCell ref="H18:S18"/>
    <mergeCell ref="R26:S26"/>
    <mergeCell ref="D74:E74"/>
    <mergeCell ref="F74:G74"/>
    <mergeCell ref="H74:I74"/>
    <mergeCell ref="J74:K74"/>
    <mergeCell ref="L74:M74"/>
  </mergeCells>
  <pageMargins left="0.2" right="0.2" top="0.5" bottom="0.5" header="0.3" footer="0.3"/>
  <pageSetup scale="47" orientation="landscape" r:id="rId1"/>
  <headerFooter>
    <oddHeader>&amp;C&amp;16Estimated Medicaid-Related Impact of the ACA with Expansion
Nov. 13, 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imeline_x0020_Item xmlns="10e1a86d-d479-43e9-be8f-ee064e336097">Medicaid expansion</Timeline_x0020_Item>
    <Document_x0020_Type xmlns="10e1a86d-d479-43e9-be8f-ee064e336097">Arkansas Implementation</Document_x0020_Type>
    <BLR_x0020_Document xmlns="10e1a86d-d479-43e9-be8f-ee064e336097">false</BLR_x0020_Document>
    <Document_x0020_Summary xmlns="10e1a86d-d479-43e9-be8f-ee064e336097">This spreadsheet, drafted by Arkansas Medicaid, provides the estimated number of enrollees as well as estimated annual costs/savings if the state opts to expand Medicaid.</Document_x0020_Summa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40A373CBF434981C42FC06F7C5D40" ma:contentTypeVersion="4" ma:contentTypeDescription="Create a new document." ma:contentTypeScope="" ma:versionID="553b4593bd709405d81721d2925f3594">
  <xsd:schema xmlns:xsd="http://www.w3.org/2001/XMLSchema" xmlns:xs="http://www.w3.org/2001/XMLSchema" xmlns:p="http://schemas.microsoft.com/office/2006/metadata/properties" xmlns:ns2="10e1a86d-d479-43e9-be8f-ee064e336097" targetNamespace="http://schemas.microsoft.com/office/2006/metadata/properties" ma:root="true" ma:fieldsID="fa84208ff403c5452fba97a3c3c4d237" ns2:_="">
    <xsd:import namespace="10e1a86d-d479-43e9-be8f-ee064e336097"/>
    <xsd:element name="properties">
      <xsd:complexType>
        <xsd:sequence>
          <xsd:element name="documentManagement">
            <xsd:complexType>
              <xsd:all>
                <xsd:element ref="ns2:BLR_x0020_Document" minOccurs="0"/>
                <xsd:element ref="ns2:Document_x0020_Summary" minOccurs="0"/>
                <xsd:element ref="ns2:Document_x0020_Type" minOccurs="0"/>
                <xsd:element ref="ns2:Timeline_x0020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1a86d-d479-43e9-be8f-ee064e336097" elementFormDefault="qualified">
    <xsd:import namespace="http://schemas.microsoft.com/office/2006/documentManagement/types"/>
    <xsd:import namespace="http://schemas.microsoft.com/office/infopath/2007/PartnerControls"/>
    <xsd:element name="BLR_x0020_Document" ma:index="8" nillable="true" ma:displayName="BLR Document" ma:default="0" ma:description="Check if this document was created by the Bureau. It will show an icon next to the link indicating that it is a BLR document." ma:internalName="BLR_x0020_Document">
      <xsd:simpleType>
        <xsd:restriction base="dms:Boolean"/>
      </xsd:simpleType>
    </xsd:element>
    <xsd:element name="Document_x0020_Summary" ma:index="9" nillable="true" ma:displayName="Document Summary" ma:description="This is the summary text that will appear beneath the document link." ma:internalName="Document_x0020_Summary">
      <xsd:simpleType>
        <xsd:restriction base="dms:Note"/>
      </xsd:simpleType>
    </xsd:element>
    <xsd:element name="Document_x0020_Type" ma:index="10" nillable="true" ma:displayName="Document Type" ma:default="None" ma:description="Determines whether this document will show up in the Federal Requirements section of the timeline item or the Arkansas Implementation section of the timeline item page." ma:format="Dropdown" ma:internalName="Document_x0020_Type">
      <xsd:simpleType>
        <xsd:restriction base="dms:Choice">
          <xsd:enumeration value="Federal Requirement"/>
          <xsd:enumeration value="Arkansas Implementation"/>
          <xsd:enumeration value="Other Implementations"/>
          <xsd:enumeration value="None"/>
        </xsd:restriction>
      </xsd:simpleType>
    </xsd:element>
    <xsd:element name="Timeline_x0020_Item" ma:index="11" nillable="true" ma:displayName="Timeline Item" ma:internalName="Timeline_x0020_Item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EEF829-FFF9-4D0A-A3C3-1DD4F35D0D16}"/>
</file>

<file path=customXml/itemProps2.xml><?xml version="1.0" encoding="utf-8"?>
<ds:datastoreItem xmlns:ds="http://schemas.openxmlformats.org/officeDocument/2006/customXml" ds:itemID="{2BEC2CAE-159A-43EE-9AAF-2056F9435A14}"/>
</file>

<file path=customXml/itemProps3.xml><?xml version="1.0" encoding="utf-8"?>
<ds:datastoreItem xmlns:ds="http://schemas.openxmlformats.org/officeDocument/2006/customXml" ds:itemID="{47A1823E-917D-4C5D-8481-3BF5BEE7CD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ACA SGR Impact</vt:lpstr>
      <vt:lpstr>Sheet1</vt:lpstr>
      <vt:lpstr>'ACA SGR Impact'!Print_Area</vt:lpstr>
    </vt:vector>
  </TitlesOfParts>
  <Company>DHS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Estimated impact of Medicaid expansion on Arkansas state budget</dc:title>
  <dc:creator>Andy Allison</dc:creator>
  <cp:lastModifiedBy>Tommy</cp:lastModifiedBy>
  <cp:lastPrinted>2012-12-19T22:29:35Z</cp:lastPrinted>
  <dcterms:created xsi:type="dcterms:W3CDTF">2012-07-02T21:53:59Z</dcterms:created>
  <dcterms:modified xsi:type="dcterms:W3CDTF">2012-12-19T22:31:32Z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0x01010011340A373CBF434981C42FC06F7C5D40</vt:lpwstr>
  </property>
</Properties>
</file>